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506" windowWidth="9285" windowHeight="7995" activeTab="0"/>
  </bookViews>
  <sheets>
    <sheet name="Syn" sheetId="1" r:id="rId1"/>
    <sheet name="Agr Pro" sheetId="2" r:id="rId2"/>
    <sheet name="IIP" sheetId="3" r:id="rId3"/>
    <sheet name="Ind.Pro" sheetId="4" r:id="rId4"/>
    <sheet name="Inv all" sheetId="5" r:id="rId5"/>
    <sheet name="Inv " sheetId="6" r:id="rId6"/>
    <sheet name="Build" sheetId="7" r:id="rId7"/>
    <sheet name="Trade" sheetId="8" r:id="rId8"/>
    <sheet name="Ex" sheetId="9" r:id="rId9"/>
    <sheet name="Import" sheetId="10" r:id="rId10"/>
    <sheet name="CPI" sheetId="11" r:id="rId11"/>
    <sheet name="Trans." sheetId="12" r:id="rId12"/>
    <sheet name="Trans dst" sheetId="13" r:id="rId13"/>
  </sheets>
  <externalReferences>
    <externalReference r:id="rId16"/>
  </externalReferences>
  <definedNames>
    <definedName name="_xlnm.Print_Area" localSheetId="1">'Agr Pro'!$A$2:$G$88</definedName>
    <definedName name="_xlnm.Print_Area" localSheetId="6">'Build'!#REF!</definedName>
    <definedName name="_xlnm.Print_Area" localSheetId="10">'CPI'!$B$2:$G$22</definedName>
    <definedName name="_xlnm.Print_Area" localSheetId="8">'Ex'!$A$1:$H$30</definedName>
    <definedName name="_xlnm.Print_Area" localSheetId="2">'IIP'!$A$1:$E$30</definedName>
    <definedName name="_xlnm.Print_Area" localSheetId="9">'Import'!$A$1:$H$23</definedName>
    <definedName name="_xlnm.Print_Area" localSheetId="3">'Ind.Pro'!$A$1:$G$20</definedName>
    <definedName name="_xlnm.Print_Area" localSheetId="5">'Inv '!#REF!</definedName>
    <definedName name="_xlnm.Print_Area" localSheetId="4">'Inv all'!#REF!</definedName>
    <definedName name="_xlnm.Print_Area" localSheetId="0">'Syn'!$A$2:$E$29</definedName>
    <definedName name="_xlnm.Print_Area" localSheetId="7">'Trade'!$A$1:$G$29</definedName>
    <definedName name="_xlnm.Print_Area" localSheetId="12">'Trans dst'!$A$1:$G$22</definedName>
    <definedName name="_xlnm.Print_Area" localSheetId="11">'Trans.'!$A$2:$H$32</definedName>
    <definedName name="_xlnm.Print_Titles" localSheetId="1">'Agr Pro'!$4:$5</definedName>
  </definedNames>
  <calcPr fullCalcOnLoad="1"/>
</workbook>
</file>

<file path=xl/sharedStrings.xml><?xml version="1.0" encoding="utf-8"?>
<sst xmlns="http://schemas.openxmlformats.org/spreadsheetml/2006/main" count="733" uniqueCount="403">
  <si>
    <t>CHỈ TIÊU</t>
  </si>
  <si>
    <t>ĐVT</t>
  </si>
  <si>
    <t>1. Thành phố Việt Trì</t>
  </si>
  <si>
    <t>2. Thị xã Phú Thọ</t>
  </si>
  <si>
    <t>3. Huyện Đoan Hùng</t>
  </si>
  <si>
    <t>4. Huyện Hạ Hoà</t>
  </si>
  <si>
    <t>5. Huyện Thanh Ba</t>
  </si>
  <si>
    <t>6. Huyện Phù Ninh</t>
  </si>
  <si>
    <t xml:space="preserve">7. Huyện Yên Lập </t>
  </si>
  <si>
    <t>8. Huyện Cẩm Khê</t>
  </si>
  <si>
    <t>9. Huyện Tam Nông</t>
  </si>
  <si>
    <t>10. Huyện Lâm Thao</t>
  </si>
  <si>
    <t>11. Huyện Thanh Sơn</t>
  </si>
  <si>
    <t>12. Huyện Thanh Thuỷ</t>
  </si>
  <si>
    <t>13. Huyện Tân Sơn</t>
  </si>
  <si>
    <t>Tấn</t>
  </si>
  <si>
    <t>Đơn 
vị tính</t>
  </si>
  <si>
    <t>So sánh (%)</t>
  </si>
  <si>
    <t>Tổng số</t>
  </si>
  <si>
    <t>1. Kinh tế Nhà nước</t>
  </si>
  <si>
    <t>1. Thương nghiệp</t>
  </si>
  <si>
    <t>2. Khách sạn, nhà hàng</t>
  </si>
  <si>
    <t>3. Dịch vụ khác</t>
  </si>
  <si>
    <t xml:space="preserve">1- Tổng trị giá xuất khẩu </t>
  </si>
  <si>
    <t>1000 USD</t>
  </si>
  <si>
    <t xml:space="preserve">  - Kinh tế Nhà nước</t>
  </si>
  <si>
    <t xml:space="preserve">  - Kinh tế Tập thể</t>
  </si>
  <si>
    <t xml:space="preserve">  - Kinh tế Tư nhân</t>
  </si>
  <si>
    <t xml:space="preserve">  - Kinh tế có VĐT nước ngoài</t>
  </si>
  <si>
    <t>2- Mặt hàng chủ yếu</t>
  </si>
  <si>
    <t xml:space="preserve">  - Chè</t>
  </si>
  <si>
    <t xml:space="preserve">  - Sản phẩm bằng Plastic</t>
  </si>
  <si>
    <t>1000USD</t>
  </si>
  <si>
    <t xml:space="preserve">  - Hàng dệt may </t>
  </si>
  <si>
    <t xml:space="preserve">  - Giày dép các loại</t>
  </si>
  <si>
    <t xml:space="preserve">  - Sản phẩm bằng gỗ</t>
  </si>
  <si>
    <t xml:space="preserve">  - Hàng hoá khác</t>
  </si>
  <si>
    <t>1- Tổng trị giá nhập khẩu</t>
  </si>
  <si>
    <t>2- Mặt hàng nhập chủ yếu</t>
  </si>
  <si>
    <t xml:space="preserve">   - Hoá chất</t>
  </si>
  <si>
    <t xml:space="preserve">   - Xơ, sợi dệt</t>
  </si>
  <si>
    <t xml:space="preserve">   - Sắt thép</t>
  </si>
  <si>
    <t xml:space="preserve">   - Vải may mặc</t>
  </si>
  <si>
    <t xml:space="preserve">   - Phụ liệu may mặc</t>
  </si>
  <si>
    <t xml:space="preserve">   - Máy móc, TB, PT khác</t>
  </si>
  <si>
    <t xml:space="preserve">   - Hàng hoá khác</t>
  </si>
  <si>
    <t>Nhóm hàng hoá</t>
  </si>
  <si>
    <t>Kỳ gốc 
(2009)</t>
  </si>
  <si>
    <t>Cùng tháng năm trước</t>
  </si>
  <si>
    <t>Tháng 12 
năm trước</t>
  </si>
  <si>
    <t>Tháng trước</t>
  </si>
  <si>
    <t>Chỉ số giá tiêu dùng</t>
  </si>
  <si>
    <t xml:space="preserve">       -  Lương thực</t>
  </si>
  <si>
    <t xml:space="preserve">       -  Thực phẩm </t>
  </si>
  <si>
    <t>II. Đồ uống và thuốc lá</t>
  </si>
  <si>
    <t>III. May mặc, mũ nón, giầy dép</t>
  </si>
  <si>
    <t>IV. Nhà ở, điện, nuớc, chất đốt và VLXD</t>
  </si>
  <si>
    <t>V. Thiết bị và đồ dùng gia đình</t>
  </si>
  <si>
    <t>VI. Thuốc và dịch vụ y tế</t>
  </si>
  <si>
    <t>VII. Giao thông</t>
  </si>
  <si>
    <t>VIII. Bưu chính viễn thông</t>
  </si>
  <si>
    <t>IX. Giáo dục</t>
  </si>
  <si>
    <t>X. Văn hoá, giải trí và du lịch</t>
  </si>
  <si>
    <t>XI. Hàng hoá và dịch vụ khác</t>
  </si>
  <si>
    <t>Chỉ số giá vàng</t>
  </si>
  <si>
    <t>Chỉ số giá đô la Mỹ</t>
  </si>
  <si>
    <t>Ng HK</t>
  </si>
  <si>
    <t>Phân theo thành phần kinh tế</t>
  </si>
  <si>
    <t xml:space="preserve"> - Nhà nước: </t>
  </si>
  <si>
    <t xml:space="preserve"> + Vận chuyển</t>
  </si>
  <si>
    <t>Nghìn tấn</t>
  </si>
  <si>
    <t xml:space="preserve"> + Luân chuyển</t>
  </si>
  <si>
    <t xml:space="preserve"> - Ngoài Nhà nước: </t>
  </si>
  <si>
    <t xml:space="preserve"> + Luân chuyển  </t>
  </si>
  <si>
    <t>Phân theo ngành vận tải</t>
  </si>
  <si>
    <t xml:space="preserve"> - Đường bộ</t>
  </si>
  <si>
    <t xml:space="preserve"> - Đường sông</t>
  </si>
  <si>
    <t xml:space="preserve"> - Đường bộ: </t>
  </si>
  <si>
    <t>Đơn vị tính: Triệu đồng</t>
  </si>
  <si>
    <t xml:space="preserve">       - Ăn uống ngoài gia đình</t>
  </si>
  <si>
    <t xml:space="preserve">   - Bông xơ</t>
  </si>
  <si>
    <t>"</t>
  </si>
  <si>
    <t>Đơn vị tính: Tỷ đồng</t>
  </si>
  <si>
    <t>NgHK.km</t>
  </si>
  <si>
    <t>NgTấn.km</t>
  </si>
  <si>
    <t>I.  Hàng ăn và dịch vụ ăn uống</t>
  </si>
  <si>
    <t>Tháng này/tháng trước</t>
  </si>
  <si>
    <t xml:space="preserve">   - Chất dẻo nguyên liệu</t>
  </si>
  <si>
    <t xml:space="preserve">   - Kim loại thường khác</t>
  </si>
  <si>
    <t xml:space="preserve">   - Phụ liệu giày dép</t>
  </si>
  <si>
    <t>Cộng dồn/ cùng kỳ</t>
  </si>
  <si>
    <t>* Giá trị xuất khẩu phân theo huyện, thành, thị:</t>
  </si>
  <si>
    <t>So với tháng cùng kỳ năm trước</t>
  </si>
  <si>
    <t>So với tháng trước</t>
  </si>
  <si>
    <t>Toàn ngành</t>
  </si>
  <si>
    <t xml:space="preserve"> </t>
  </si>
  <si>
    <t>I. Tổng số</t>
  </si>
  <si>
    <t>1. Vốn ngân sách nhà nước cấp tỉnh</t>
  </si>
  <si>
    <t xml:space="preserve"> - Vốn cân đối ngân sách tỉnh</t>
  </si>
  <si>
    <t xml:space="preserve"> - Vốn trung ương hỗ trợ đầu tư theo mục tiêu</t>
  </si>
  <si>
    <t xml:space="preserve"> - Vốn nước ngoài (ODA)</t>
  </si>
  <si>
    <t xml:space="preserve"> - Vốn khác</t>
  </si>
  <si>
    <t>2. Vốn ngân sách nhà nước cấp huyện</t>
  </si>
  <si>
    <t xml:space="preserve"> - Vốn cân đối ngân sách huyện</t>
  </si>
  <si>
    <t xml:space="preserve"> - Vốn tỉnh hỗ trợ đầu tư theo mục tiêu</t>
  </si>
  <si>
    <t>3. Vốn ngân sách nhà nước cấp xã</t>
  </si>
  <si>
    <t xml:space="preserve"> - Vốn cân đối ngân sách xã</t>
  </si>
  <si>
    <t xml:space="preserve"> - Vốn huyện hỗ trợ đầu tư theo mục tiêu</t>
  </si>
  <si>
    <t>II. Vốn đầu tư do địa phương quản lý 
      phân theo huyện, thành, thị</t>
  </si>
  <si>
    <t>Đơn vị tính: %</t>
  </si>
  <si>
    <t>* Trong đó:</t>
  </si>
  <si>
    <t>Thực hiện năm 2013</t>
  </si>
  <si>
    <t>1000 Lít</t>
  </si>
  <si>
    <t>1000 M2</t>
  </si>
  <si>
    <t>1000 Cái</t>
  </si>
  <si>
    <t>1000 Đôi</t>
  </si>
  <si>
    <t>1000 Viên</t>
  </si>
  <si>
    <t>1000 M3</t>
  </si>
  <si>
    <t>ĐVT: Triệu đồng</t>
  </si>
  <si>
    <t>B. Khai khoáng</t>
  </si>
  <si>
    <t>07. Khai thác quặng kim loại</t>
  </si>
  <si>
    <t>08. Khai khoáng khác</t>
  </si>
  <si>
    <t>C. Công nghiệp chế biến, chế tạo</t>
  </si>
  <si>
    <t>10. Sản xuất chế biến thực phẩm</t>
  </si>
  <si>
    <t>11. Sản xuất đồ uống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</si>
  <si>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</si>
  <si>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</si>
  <si>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</si>
  <si>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</si>
  <si>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hoá chất và sản phẩm hoá chất</t>
  </si>
  <si>
    <t>22. Sản xuất sản phẩm từ cao su và plastic</t>
  </si>
  <si>
    <t>23. Sản xuất sản phẩm từ khoáng phi kim loại khác</t>
  </si>
  <si>
    <t>24. Sản xuất kim loại</t>
  </si>
  <si>
    <t>25. Sản xuất sản phẩm từ kim loại đúc sẵn (trừ MMTB)</t>
  </si>
  <si>
    <t>27. Sản xuất thiết bị điện</t>
  </si>
  <si>
    <t>30. Sản xuất phương tiện vận tải khác</t>
  </si>
  <si>
    <t>D. SX và PP điện, khí đốt, nước nóng … và điều hòa KK</t>
  </si>
  <si>
    <t>35. SX và PP điện, khí đốt, nước nóng ... và điều hoà KK</t>
  </si>
  <si>
    <t>E. CC nước, HĐ quản lý và xử lý rác thải, nước thải</t>
  </si>
  <si>
    <t>36. Khai thác, xử lý và cung cấp nước</t>
  </si>
  <si>
    <t>I. Phân theo loại hình kinh tế</t>
  </si>
  <si>
    <t>2. Kinh tế tập thể</t>
  </si>
  <si>
    <t>3. Kinh tế cá thể</t>
  </si>
  <si>
    <t>4. Kinh tế tư nhân</t>
  </si>
  <si>
    <t>5. Kinh tế có vốn ĐTNN</t>
  </si>
  <si>
    <t>II. Phân theo ngành kinh tế</t>
  </si>
  <si>
    <t>III. Phân theo huyện, thành, thị</t>
  </si>
  <si>
    <t>I. Doanh thu vận tải</t>
  </si>
  <si>
    <t>II. Sản lượng vận tải</t>
  </si>
  <si>
    <t>1. Hành khách (ngoài nhà nước)</t>
  </si>
  <si>
    <t>2. Hàng hoá</t>
  </si>
  <si>
    <t>Triệu đồng</t>
  </si>
  <si>
    <t xml:space="preserve"> - Vận tải hành khách</t>
  </si>
  <si>
    <t xml:space="preserve"> - Vận tải hàng hóa</t>
  </si>
  <si>
    <t>Trong đó:  NPK</t>
  </si>
  <si>
    <t>1. Giấy và bìa khác</t>
  </si>
  <si>
    <t>2. Bia  các loại</t>
  </si>
  <si>
    <t xml:space="preserve">3. Chè </t>
  </si>
  <si>
    <t>4. Phân bón hóa học các loại</t>
  </si>
  <si>
    <t xml:space="preserve">5. Cao lanh </t>
  </si>
  <si>
    <t xml:space="preserve">6. Xi măng </t>
  </si>
  <si>
    <t>7. Gạch xây dựng</t>
  </si>
  <si>
    <t>8. Gạch lát</t>
  </si>
  <si>
    <t>9. Mỳ chính</t>
  </si>
  <si>
    <t>10. Dung lượng ắc quy</t>
  </si>
  <si>
    <t>11. Vải thành phẩm</t>
  </si>
  <si>
    <t>12. Sợi toàn bộ</t>
  </si>
  <si>
    <t>13. Quần áo may sẵn</t>
  </si>
  <si>
    <t xml:space="preserve">14. Giày thể thao </t>
  </si>
  <si>
    <t>15. Nước máy</t>
  </si>
  <si>
    <t xml:space="preserve">3- Sản xuất công nghiệp </t>
  </si>
  <si>
    <t>Bình quân so với 
cùng kỳ
(%)</t>
  </si>
  <si>
    <t>Cộng dồn/
cùng kỳ</t>
  </si>
  <si>
    <t>Tháng ước tính so với tháng trước 
(%)</t>
  </si>
  <si>
    <t>Hàng hoá vận chuyển (nghìn tấn)</t>
  </si>
  <si>
    <t>Hàng hoá luân chuyển (nghìn tấn.Km)</t>
  </si>
  <si>
    <t xml:space="preserve">Hàng hoá vận chuyển </t>
  </si>
  <si>
    <t xml:space="preserve">Hàng hoá luân chuyển </t>
  </si>
  <si>
    <t xml:space="preserve">Tổng số </t>
  </si>
  <si>
    <t>I. Phân theo thành phần kinh tế</t>
  </si>
  <si>
    <t>2. Kinh tế ngoài Nhà nước</t>
  </si>
  <si>
    <t>II. Phân theo huyện, thành, thị</t>
  </si>
  <si>
    <t>Ngô</t>
  </si>
  <si>
    <t>Khoai lang</t>
  </si>
  <si>
    <t>Đậu tương</t>
  </si>
  <si>
    <t>Lạc</t>
  </si>
  <si>
    <t>Chè</t>
  </si>
  <si>
    <t>Lợn</t>
  </si>
  <si>
    <t>Ha</t>
  </si>
  <si>
    <t>Con</t>
  </si>
  <si>
    <t xml:space="preserve">     </t>
  </si>
  <si>
    <t>I. DÂN SỐ VÀ LAO ĐỘNG</t>
  </si>
  <si>
    <t xml:space="preserve">1. Dân số trung bình </t>
  </si>
  <si>
    <t>Người</t>
  </si>
  <si>
    <t>2. Lực lượng lao động từ 15 tuổi trở lên</t>
  </si>
  <si>
    <t>Nghìn người</t>
  </si>
  <si>
    <t xml:space="preserve">3. Lao động từ 15 tuổi trở lên đang làm việc </t>
  </si>
  <si>
    <t>II. Tổng sản phẩm trên địa bàn (GDP)</t>
  </si>
  <si>
    <t>1. Theo giá hiện hành</t>
  </si>
  <si>
    <t>*Phân theo ngành kinh tế</t>
  </si>
  <si>
    <t xml:space="preserve"> - Nông, lâm nghiệp và thuỷ sản</t>
  </si>
  <si>
    <t>,,</t>
  </si>
  <si>
    <t xml:space="preserve"> -  Công nghiệp và xây dựng </t>
  </si>
  <si>
    <t xml:space="preserve"> - Dịch vụ</t>
  </si>
  <si>
    <t>2. Theo giá so sánh 2010</t>
  </si>
  <si>
    <t>3. Cơ cấu kinh tế (theo giá thực tế)</t>
  </si>
  <si>
    <t>%</t>
  </si>
  <si>
    <t>-</t>
  </si>
  <si>
    <t>II. THU CHI NGÂN SÁCH</t>
  </si>
  <si>
    <t>1. Thu ngân sách Nhà nước trên địa bàn</t>
  </si>
  <si>
    <t xml:space="preserve"> - Thu nội địa</t>
  </si>
  <si>
    <t xml:space="preserve"> - Chi thường xuyên</t>
  </si>
  <si>
    <t>1- Một số chỉ tiêu tổng hợp năm 2013</t>
  </si>
  <si>
    <t>Chính thức năm 2012</t>
  </si>
  <si>
    <t>Sơ bộ 2013</t>
  </si>
  <si>
    <t>Năm 2013/
năm 2012
(%)</t>
  </si>
  <si>
    <t>Trồng trọt</t>
  </si>
  <si>
    <t>Chăn nuôi</t>
  </si>
  <si>
    <t>Dịch vụ và các hoạt động khác</t>
  </si>
  <si>
    <t>Lúa</t>
  </si>
  <si>
    <t>4. Năng suất cây lương thực có hạt</t>
  </si>
  <si>
    <t>Tạ/ha</t>
  </si>
  <si>
    <t>5. Sản lượng cây lương thực có hạt</t>
  </si>
  <si>
    <t>Kg</t>
  </si>
  <si>
    <t>7. Diện tích trồng lúa</t>
  </si>
  <si>
    <t>Đông xuân</t>
  </si>
  <si>
    <t>Mùa</t>
  </si>
  <si>
    <t>8. Năng suất lúa cả năm</t>
  </si>
  <si>
    <t>9. Sản lượng lúa cả năm</t>
  </si>
  <si>
    <t>Sắn</t>
  </si>
  <si>
    <t>11. Năng suất một số cây chất bột lấy củ</t>
  </si>
  <si>
    <t>12. Sản lượng một số cây chất bột lấy củ</t>
  </si>
  <si>
    <t>Mía</t>
  </si>
  <si>
    <t>Sơn</t>
  </si>
  <si>
    <t>18. Số lượng gia súc</t>
  </si>
  <si>
    <t>Trâu</t>
  </si>
  <si>
    <t>Bò</t>
  </si>
  <si>
    <t>19. Số lượng gia cầm</t>
  </si>
  <si>
    <t>Nghìn con</t>
  </si>
  <si>
    <t>20. Sản lượng thịt hơi xuất chuồng</t>
  </si>
  <si>
    <t>B. LÂM NGHIỆP</t>
  </si>
  <si>
    <t>3. Sản lượng gỗ khai thác</t>
  </si>
  <si>
    <t>4. Diện tích rừng trồng tập trung</t>
  </si>
  <si>
    <t>5. Diện tích rừng khoanh nuôi</t>
  </si>
  <si>
    <t>6. Diện tích rừng được chăm sóc</t>
  </si>
  <si>
    <t>7. Diện tích rừng được giao khoán bảo vệ</t>
  </si>
  <si>
    <t>C. THUỶ SẢN</t>
  </si>
  <si>
    <t>3. Diện tích nuôi trồng thủy sản</t>
  </si>
  <si>
    <t>4. Sản lượng thuỷ sản</t>
  </si>
  <si>
    <t>Sản lượng khai thác thủy sản</t>
  </si>
  <si>
    <t>Cá</t>
  </si>
  <si>
    <t>Tôm</t>
  </si>
  <si>
    <t>Thuỷ sản khác</t>
  </si>
  <si>
    <t>Sản lượng nuôi trồng thủy sản</t>
  </si>
  <si>
    <t>Năm trước</t>
  </si>
  <si>
    <t>Kế hoạch</t>
  </si>
  <si>
    <t>Chính thức năm
2012</t>
  </si>
  <si>
    <t>Kế hoạch 2013</t>
  </si>
  <si>
    <t>Sơ bộ năm 2013</t>
  </si>
  <si>
    <t>Năm 2013 so với (%)</t>
  </si>
  <si>
    <r>
      <t>Trong đó:</t>
    </r>
    <r>
      <rPr>
        <sz val="10"/>
        <rFont val="Times New Roman"/>
        <family val="1"/>
      </rPr>
      <t xml:space="preserve"> Thịt lợn</t>
    </r>
  </si>
  <si>
    <t>1. GTSX nông nghiệp theo giá hiện hành</t>
  </si>
  <si>
    <t>1. GTSX thuỷ sản theo giá hiện hành</t>
  </si>
  <si>
    <t>2. GTSX thuỷ sản theo giá so sánh 2010</t>
  </si>
  <si>
    <t>1. GTSX lâm nghiệp theo giá hiện hành</t>
  </si>
  <si>
    <t>2. GTSX lâm nghiệp theo giá so sánh 2010</t>
  </si>
  <si>
    <t>17. Sản lượng một số cây CN lâu năm</t>
  </si>
  <si>
    <t>16. DT gieo trồng một số cây CN lâu năm</t>
  </si>
  <si>
    <t>15. Sản lượng một số cây CN hàng năm</t>
  </si>
  <si>
    <t>14. Năng suất một số cây CN hàng năm</t>
  </si>
  <si>
    <t>13. Diện tích một sô cây CN hàng năm</t>
  </si>
  <si>
    <t>10. DT gieo trồng một số cây chất bột lấy củ</t>
  </si>
  <si>
    <t>6. SL cây lương thực có hạt BQ đầu người</t>
  </si>
  <si>
    <r>
      <t>M</t>
    </r>
    <r>
      <rPr>
        <b/>
        <vertAlign val="superscript"/>
        <sz val="10"/>
        <rFont val="Times New Roman"/>
        <family val="1"/>
      </rPr>
      <t>3</t>
    </r>
  </si>
  <si>
    <t>A. NÔNG NGHIỆP</t>
  </si>
  <si>
    <t>2- Tình hình sản xuất nông, lâm nghiệp và thuỷ sản năm 2013</t>
  </si>
  <si>
    <t>3.1- Chỉ số phát triển sản xuất công nghiệp tháng 12 và cả năm 2013 toàn tỉnh</t>
  </si>
  <si>
    <t>Tháng 11/2013 so với tháng 11/2012</t>
  </si>
  <si>
    <t>Tháng 12/2013</t>
  </si>
  <si>
    <t>12 tháng 2013 so với 12 tháng 2012</t>
  </si>
  <si>
    <t>3.2- Sản phẩm sản xuất chủ yếu ngành công nghiệp tháng 12 và cả năm 2013 toàn tỉnh</t>
  </si>
  <si>
    <t>Chính 
thức 
tháng 11</t>
  </si>
  <si>
    <t>Ước
 tháng 12</t>
  </si>
  <si>
    <t>Cộng dồn 12 tháng</t>
  </si>
  <si>
    <t>Thực hiện 12 tháng năm 2012</t>
  </si>
  <si>
    <t>Cộng dồn 
12 tháng</t>
  </si>
  <si>
    <t>Quí này so 
quí trước</t>
  </si>
  <si>
    <t>Cộng dồn so cùng kỳ</t>
  </si>
  <si>
    <t xml:space="preserve">TỔNG SỐ </t>
  </si>
  <si>
    <t>I. Phân theo nguồn vốn</t>
  </si>
  <si>
    <t xml:space="preserve">1. Vốn nhà nước trên địa bàn </t>
  </si>
  <si>
    <t xml:space="preserve"> - Vốn trung ương quản lý </t>
  </si>
  <si>
    <r>
      <t xml:space="preserve"> - Vốn địa phương quản lý</t>
    </r>
  </si>
  <si>
    <t xml:space="preserve">2. Vốn ngoài nhà nước </t>
  </si>
  <si>
    <t xml:space="preserve">3. Vốn đầu tư trực tiếp nước ngoài </t>
  </si>
  <si>
    <t>II. Phân theo khoản mục đầu tư</t>
  </si>
  <si>
    <t>1. Vốn đầu tư xây dựng cơ bản</t>
  </si>
  <si>
    <t>Chia ra:</t>
  </si>
  <si>
    <t>- Xây dựng và lắp đặt</t>
  </si>
  <si>
    <t>- Máy móc, thiết bị</t>
  </si>
  <si>
    <t>- Khác</t>
  </si>
  <si>
    <t>2. Vốn đầu tư mua sắm tài sản cố định dùng cho sản xuất không qua XDCB</t>
  </si>
  <si>
    <t>3. Vốn đầu tư sửa chữa lớn, nâng cấp TSCĐ</t>
  </si>
  <si>
    <t>4. Vốn đầu tư bổ sung vốn lưu động</t>
  </si>
  <si>
    <t>5. Vốn đầu tư khác</t>
  </si>
  <si>
    <t>4- Vốn đầu tư thực hiện trên địa bàn năm 2013</t>
  </si>
  <si>
    <t>4.1- Vốn đầu tư thực hiện trên địa bàn quý IV và cả năm 2013</t>
  </si>
  <si>
    <t>Thực hiện 12 tháng 2012</t>
  </si>
  <si>
    <t>Quí IV</t>
  </si>
  <si>
    <t>I- Chia theo loại hình sở hữu</t>
  </si>
  <si>
    <t xml:space="preserve"> - Doanh nghiệp Nhà nước</t>
  </si>
  <si>
    <t xml:space="preserve"> - Doanh nghiệp Ngoài Nhà nước</t>
  </si>
  <si>
    <t xml:space="preserve"> - Doanh nghiệp có VĐT nước ngoài</t>
  </si>
  <si>
    <t xml:space="preserve"> - Các loại hình khác</t>
  </si>
  <si>
    <t xml:space="preserve"> + Xã, phường</t>
  </si>
  <si>
    <t xml:space="preserve"> + Hộ dân cư</t>
  </si>
  <si>
    <t>II- Chia theo loại công trình</t>
  </si>
  <si>
    <t xml:space="preserve"> - Công trình nhà ở</t>
  </si>
  <si>
    <t xml:space="preserve"> - Công trình nhà không để ở</t>
  </si>
  <si>
    <t xml:space="preserve"> - Công trình kỹ thuật dân dụng</t>
  </si>
  <si>
    <t xml:space="preserve"> - Hoạt động xây dựng chuyên dụng</t>
  </si>
  <si>
    <t>5- Giá trị sản xuất ngành xây dựng quí IV và cả năm 2013 theo giá thực tế</t>
  </si>
  <si>
    <t>Chính thức 
Quý III/2013</t>
  </si>
  <si>
    <t>Ước thực hiện năm 2013</t>
  </si>
  <si>
    <t>Chỉ số tháng 12 so với (%)</t>
  </si>
  <si>
    <t>Thực hiện tháng 11 năm 2013</t>
  </si>
  <si>
    <t>Ước thực hiện tháng 12 năm 2013</t>
  </si>
  <si>
    <t>6- Tổng mức bán lẻ hàng hoá và dịch vụ tiêu dùng tháng 12 và cả năm 2013</t>
  </si>
  <si>
    <t>7- Xuất khẩu hàng hoá tháng 12 và cả năm 2013</t>
  </si>
  <si>
    <t>8- Nhập khẩu hàng hoá tháng 12 và cả năm 2013 toàn tỉnh</t>
  </si>
  <si>
    <t>9- Chỉ số giá tiêu dùng, chỉ số giá vàng và đô la Mỹ tháng 12 năm 2013</t>
  </si>
  <si>
    <t>10- Kết quả kinh doanh vận tải tháng 12 và cả năm 2013</t>
  </si>
  <si>
    <t>11- Sản lượng vận tải hàng hoá tháng 12 năm 2013 phân theo huyện</t>
  </si>
  <si>
    <t xml:space="preserve"> 148,87</t>
  </si>
  <si>
    <t xml:space="preserve"> 105,42</t>
  </si>
  <si>
    <t xml:space="preserve"> 100,24</t>
  </si>
  <si>
    <t xml:space="preserve"> 106,10</t>
  </si>
  <si>
    <t xml:space="preserve"> 165,92</t>
  </si>
  <si>
    <t xml:space="preserve"> 103,99</t>
  </si>
  <si>
    <t xml:space="preserve"> 100,10</t>
  </si>
  <si>
    <t xml:space="preserve"> 104,10</t>
  </si>
  <si>
    <t xml:space="preserve"> 156,05</t>
  </si>
  <si>
    <t xml:space="preserve"> 107,60</t>
  </si>
  <si>
    <t xml:space="preserve"> 100,09</t>
  </si>
  <si>
    <t xml:space="preserve"> 105,53</t>
  </si>
  <si>
    <t xml:space="preserve"> 163,35</t>
  </si>
  <si>
    <t xml:space="preserve"> 102,23</t>
  </si>
  <si>
    <t xml:space="preserve"> 102,74</t>
  </si>
  <si>
    <t xml:space="preserve"> 199,51</t>
  </si>
  <si>
    <t xml:space="preserve"> 107,40</t>
  </si>
  <si>
    <t xml:space="preserve"> 100,21</t>
  </si>
  <si>
    <t xml:space="preserve"> 108,86</t>
  </si>
  <si>
    <t xml:space="preserve"> 132,28</t>
  </si>
  <si>
    <t xml:space="preserve"> 105,45</t>
  </si>
  <si>
    <t xml:space="preserve"> 100,05</t>
  </si>
  <si>
    <t xml:space="preserve"> 107,15</t>
  </si>
  <si>
    <t xml:space="preserve"> 145,56</t>
  </si>
  <si>
    <t xml:space="preserve"> 107,26</t>
  </si>
  <si>
    <t xml:space="preserve"> 100,03</t>
  </si>
  <si>
    <t xml:space="preserve"> 110,04</t>
  </si>
  <si>
    <t xml:space="preserve"> 171,22</t>
  </si>
  <si>
    <t xml:space="preserve"> 107,50</t>
  </si>
  <si>
    <t xml:space="preserve"> 101,61</t>
  </si>
  <si>
    <t xml:space="preserve"> 108,26</t>
  </si>
  <si>
    <t xml:space="preserve"> 127,04</t>
  </si>
  <si>
    <t xml:space="preserve"> 104,86</t>
  </si>
  <si>
    <t xml:space="preserve"> 100,14</t>
  </si>
  <si>
    <t xml:space="preserve"> 108,22</t>
  </si>
  <si>
    <t xml:space="preserve"> 133,65</t>
  </si>
  <si>
    <t xml:space="preserve"> 114,76</t>
  </si>
  <si>
    <t xml:space="preserve"> 100,01</t>
  </si>
  <si>
    <t xml:space="preserve"> 117,21</t>
  </si>
  <si>
    <t xml:space="preserve"> 135,84</t>
  </si>
  <si>
    <t xml:space="preserve"> 102,11</t>
  </si>
  <si>
    <t xml:space="preserve"> 99,81</t>
  </si>
  <si>
    <t xml:space="preserve"> 103,85</t>
  </si>
  <si>
    <t xml:space="preserve"> 90,29</t>
  </si>
  <si>
    <t xml:space="preserve"> 100,08</t>
  </si>
  <si>
    <t xml:space="preserve"> 100,00</t>
  </si>
  <si>
    <t xml:space="preserve"> 154,09</t>
  </si>
  <si>
    <t xml:space="preserve"> 108,79</t>
  </si>
  <si>
    <t xml:space="preserve"> 103,57</t>
  </si>
  <si>
    <t xml:space="preserve"> 113,73</t>
  </si>
  <si>
    <t xml:space="preserve"> 103,48</t>
  </si>
  <si>
    <t xml:space="preserve"> 99,99</t>
  </si>
  <si>
    <t xml:space="preserve"> 105,49</t>
  </si>
  <si>
    <t xml:space="preserve"> 137,79</t>
  </si>
  <si>
    <t xml:space="preserve"> 110,02</t>
  </si>
  <si>
    <t xml:space="preserve"> 113,50</t>
  </si>
  <si>
    <t xml:space="preserve"> 172,11</t>
  </si>
  <si>
    <t xml:space="preserve"> 76,20</t>
  </si>
  <si>
    <t xml:space="preserve"> 96,58</t>
  </si>
  <si>
    <t xml:space="preserve"> 87,67</t>
  </si>
  <si>
    <t xml:space="preserve"> 118,26</t>
  </si>
  <si>
    <t xml:space="preserve"> 101,85</t>
  </si>
  <si>
    <t xml:space="preserve"> 101,48</t>
  </si>
  <si>
    <t>4.2- Vốn đầu tư từ ngân sách Nhà nước do địa phương quản lý tháng 12 và cả năm 2013</t>
  </si>
  <si>
    <t>Năm 2013</t>
  </si>
  <si>
    <t>3. Diện tích GT cây lương thực có hạt</t>
  </si>
  <si>
    <t>2. Chi ngân sách địa phương</t>
  </si>
  <si>
    <t>12 tháng 2012</t>
  </si>
  <si>
    <t>1000 KVA</t>
  </si>
  <si>
    <t>2. GTSX nông nghiệp theo giá SS 2010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</si>
</sst>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_);_(@_)"/>
    <numFmt numFmtId="167" formatCode="_(* #,##0.00_);_(* \(#,##0.00\);_(* &quot;-&quot;_);_(@_)"/>
    <numFmt numFmtId="168" formatCode="_(* #,##0.0_);_(* \(#,##0.0\);_(* &quot;-&quot;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#,##0.000"/>
    <numFmt numFmtId="173" formatCode="_(* #,##0.00_);_(* \(#,##0.00\);_(* &quot;-&quot;?_);_(@_)"/>
    <numFmt numFmtId="174" formatCode="_(* #,##0.0000_);_(* \(#,##0.0000\);_(* &quot;-&quot;??_);_(@_)"/>
    <numFmt numFmtId="175" formatCode="_(* #,##0.0000_);_(* \(#,##0.0000\);_(* &quot;-&quot;????_);_(@_)"/>
    <numFmt numFmtId="176" formatCode="#,##0.00000000000"/>
    <numFmt numFmtId="177" formatCode="_(* #,##0.00_);_(* \(#,##0.00\);_(* &quot;-&quot;????_);_(@_)"/>
    <numFmt numFmtId="178" formatCode="#,##0.0000000000"/>
    <numFmt numFmtId="179" formatCode="#,##0.000000000"/>
    <numFmt numFmtId="180" formatCode="#,##0.00000000"/>
    <numFmt numFmtId="181" formatCode="#,##0.0000000"/>
    <numFmt numFmtId="182" formatCode="#,##0.000000"/>
    <numFmt numFmtId="183" formatCode="_(* #,##0_);_(* \(#,##0\);_(* &quot;-&quot;?_);_(@_)"/>
    <numFmt numFmtId="184" formatCode="#,##0;\-#,##0"/>
    <numFmt numFmtId="185" formatCode="0.000000"/>
    <numFmt numFmtId="186" formatCode="0.00000"/>
    <numFmt numFmtId="187" formatCode="0.0000"/>
    <numFmt numFmtId="188" formatCode="0.000"/>
    <numFmt numFmtId="189" formatCode="#,##0.0000"/>
  </numFmts>
  <fonts count="41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u val="single"/>
      <sz val="13.8"/>
      <color indexed="12"/>
      <name val="Times New Roman"/>
      <family val="1"/>
    </font>
    <font>
      <u val="single"/>
      <sz val="13.8"/>
      <color indexed="36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sz val="9.5"/>
      <name val="Times New Roman"/>
      <family val="1"/>
    </font>
    <font>
      <sz val="8"/>
      <name val="VK Sans Serif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3" fontId="3" fillId="0" borderId="10" xfId="42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left" wrapText="1" indent="1"/>
    </xf>
    <xf numFmtId="43" fontId="3" fillId="0" borderId="10" xfId="42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3" fontId="3" fillId="0" borderId="12" xfId="42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vertical="center"/>
    </xf>
    <xf numFmtId="0" fontId="11" fillId="0" borderId="11" xfId="0" applyNumberFormat="1" applyFont="1" applyFill="1" applyBorder="1" applyAlignment="1">
      <alignment horizontal="left" wrapText="1" indent="1"/>
    </xf>
    <xf numFmtId="2" fontId="11" fillId="0" borderId="11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14" fillId="0" borderId="10" xfId="0" applyNumberFormat="1" applyFont="1" applyFill="1" applyBorder="1" applyAlignment="1">
      <alignment horizontal="left" vertical="center" wrapText="1" indent="1"/>
    </xf>
    <xf numFmtId="2" fontId="14" fillId="0" borderId="10" xfId="0" applyNumberFormat="1" applyFont="1" applyFill="1" applyBorder="1" applyAlignment="1">
      <alignment horizontal="right" wrapText="1"/>
    </xf>
    <xf numFmtId="2" fontId="3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wrapText="1"/>
    </xf>
    <xf numFmtId="0" fontId="11" fillId="0" borderId="12" xfId="0" applyNumberFormat="1" applyFont="1" applyFill="1" applyBorder="1" applyAlignment="1">
      <alignment horizontal="left" vertical="center" wrapText="1" indent="1"/>
    </xf>
    <xf numFmtId="2" fontId="11" fillId="0" borderId="12" xfId="0" applyNumberFormat="1" applyFont="1" applyFill="1" applyBorder="1" applyAlignment="1">
      <alignment horizontal="right" wrapText="1"/>
    </xf>
    <xf numFmtId="0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left" wrapText="1" indent="2"/>
    </xf>
    <xf numFmtId="164" fontId="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 wrapText="1"/>
    </xf>
    <xf numFmtId="0" fontId="12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right" wrapText="1"/>
    </xf>
    <xf numFmtId="0" fontId="3" fillId="0" borderId="16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left" wrapText="1" indent="1"/>
    </xf>
    <xf numFmtId="0" fontId="3" fillId="0" borderId="19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left" wrapText="1" indent="1"/>
    </xf>
    <xf numFmtId="0" fontId="2" fillId="0" borderId="21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3" fontId="3" fillId="0" borderId="17" xfId="42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wrapText="1"/>
    </xf>
    <xf numFmtId="43" fontId="3" fillId="0" borderId="17" xfId="42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wrapText="1"/>
    </xf>
    <xf numFmtId="168" fontId="3" fillId="0" borderId="25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0" fontId="14" fillId="0" borderId="26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center" wrapText="1"/>
    </xf>
    <xf numFmtId="0" fontId="12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wrapText="1"/>
    </xf>
    <xf numFmtId="4" fontId="4" fillId="0" borderId="17" xfId="0" applyNumberFormat="1" applyFont="1" applyFill="1" applyBorder="1" applyAlignment="1">
      <alignment horizontal="right" wrapText="1"/>
    </xf>
    <xf numFmtId="0" fontId="4" fillId="0" borderId="16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right" wrapText="1"/>
    </xf>
    <xf numFmtId="0" fontId="4" fillId="0" borderId="16" xfId="0" applyNumberFormat="1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4" fillId="0" borderId="11" xfId="42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left" wrapText="1"/>
    </xf>
    <xf numFmtId="43" fontId="11" fillId="0" borderId="10" xfId="42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67" fontId="3" fillId="0" borderId="10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 readingOrder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43" fontId="4" fillId="0" borderId="28" xfId="42" applyFont="1" applyFill="1" applyBorder="1" applyAlignment="1">
      <alignment horizontal="center" wrapText="1"/>
    </xf>
    <xf numFmtId="43" fontId="3" fillId="0" borderId="11" xfId="42" applyFont="1" applyFill="1" applyBorder="1" applyAlignment="1">
      <alignment horizontal="right" wrapText="1"/>
    </xf>
    <xf numFmtId="172" fontId="3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right" wrapText="1"/>
    </xf>
    <xf numFmtId="167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14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3" fontId="3" fillId="0" borderId="29" xfId="42" applyFont="1" applyFill="1" applyBorder="1" applyAlignment="1">
      <alignment horizontal="right" wrapText="1"/>
    </xf>
    <xf numFmtId="43" fontId="4" fillId="0" borderId="29" xfId="42" applyFont="1" applyFill="1" applyBorder="1" applyAlignment="1">
      <alignment horizontal="right" wrapText="1"/>
    </xf>
    <xf numFmtId="43" fontId="1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/>
    </xf>
    <xf numFmtId="43" fontId="3" fillId="0" borderId="12" xfId="42" applyFont="1" applyFill="1" applyBorder="1" applyAlignment="1">
      <alignment horizontal="center" wrapText="1"/>
    </xf>
    <xf numFmtId="170" fontId="4" fillId="0" borderId="17" xfId="42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right" wrapText="1"/>
    </xf>
    <xf numFmtId="170" fontId="1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>
      <alignment horizontal="center" wrapText="1"/>
    </xf>
    <xf numFmtId="170" fontId="3" fillId="0" borderId="17" xfId="42" applyNumberFormat="1" applyFont="1" applyFill="1" applyBorder="1" applyAlignment="1">
      <alignment horizontal="right" wrapText="1"/>
    </xf>
    <xf numFmtId="17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>
      <alignment horizontal="left" wrapText="1" indent="1"/>
    </xf>
    <xf numFmtId="0" fontId="12" fillId="0" borderId="17" xfId="0" applyFont="1" applyFill="1" applyBorder="1" applyAlignment="1">
      <alignment horizontal="center" wrapText="1"/>
    </xf>
    <xf numFmtId="170" fontId="4" fillId="0" borderId="17" xfId="42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wrapText="1"/>
    </xf>
    <xf numFmtId="164" fontId="11" fillId="0" borderId="17" xfId="0" applyNumberFormat="1" applyFont="1" applyFill="1" applyBorder="1" applyAlignment="1">
      <alignment horizontal="right" wrapText="1"/>
    </xf>
    <xf numFmtId="4" fontId="11" fillId="0" borderId="24" xfId="0" applyNumberFormat="1" applyFont="1" applyFill="1" applyBorder="1" applyAlignment="1">
      <alignment horizontal="right" wrapText="1"/>
    </xf>
    <xf numFmtId="0" fontId="3" fillId="0" borderId="29" xfId="0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>
      <alignment horizontal="center" wrapText="1"/>
    </xf>
    <xf numFmtId="0" fontId="2" fillId="0" borderId="31" xfId="0" applyNumberFormat="1" applyFont="1" applyFill="1" applyBorder="1" applyAlignment="1">
      <alignment horizontal="center" wrapText="1"/>
    </xf>
    <xf numFmtId="170" fontId="3" fillId="0" borderId="25" xfId="42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 indent="1"/>
    </xf>
    <xf numFmtId="3" fontId="4" fillId="0" borderId="28" xfId="0" applyNumberFormat="1" applyFont="1" applyFill="1" applyBorder="1" applyAlignment="1">
      <alignment horizontal="right" wrapText="1"/>
    </xf>
    <xf numFmtId="4" fontId="4" fillId="0" borderId="28" xfId="0" applyNumberFormat="1" applyFont="1" applyFill="1" applyBorder="1" applyAlignment="1">
      <alignment horizontal="right" wrapText="1"/>
    </xf>
    <xf numFmtId="2" fontId="4" fillId="0" borderId="28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left" wrapText="1" indent="2"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wrapText="1"/>
    </xf>
    <xf numFmtId="167" fontId="3" fillId="0" borderId="12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center"/>
    </xf>
    <xf numFmtId="169" fontId="4" fillId="0" borderId="11" xfId="42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/>
    </xf>
    <xf numFmtId="169" fontId="4" fillId="0" borderId="10" xfId="42" applyNumberFormat="1" applyFont="1" applyFill="1" applyBorder="1" applyAlignment="1">
      <alignment horizontal="right"/>
    </xf>
    <xf numFmtId="171" fontId="4" fillId="0" borderId="10" xfId="42" applyNumberFormat="1" applyFont="1" applyFill="1" applyBorder="1" applyAlignment="1">
      <alignment horizontal="right"/>
    </xf>
    <xf numFmtId="43" fontId="3" fillId="0" borderId="10" xfId="42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14" fillId="0" borderId="10" xfId="0" applyNumberFormat="1" applyFont="1" applyFill="1" applyBorder="1" applyAlignment="1">
      <alignment horizontal="left" wrapText="1" indent="1"/>
    </xf>
    <xf numFmtId="169" fontId="14" fillId="0" borderId="10" xfId="42" applyNumberFormat="1" applyFont="1" applyFill="1" applyBorder="1" applyAlignment="1">
      <alignment horizontal="center" wrapText="1"/>
    </xf>
    <xf numFmtId="169" fontId="14" fillId="0" borderId="10" xfId="42" applyNumberFormat="1" applyFont="1" applyFill="1" applyBorder="1" applyAlignment="1">
      <alignment horizontal="right" wrapText="1"/>
    </xf>
    <xf numFmtId="43" fontId="14" fillId="0" borderId="10" xfId="42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169" fontId="3" fillId="0" borderId="10" xfId="42" applyNumberFormat="1" applyFont="1" applyFill="1" applyBorder="1" applyAlignment="1">
      <alignment horizontal="right" wrapText="1"/>
    </xf>
    <xf numFmtId="169" fontId="3" fillId="0" borderId="10" xfId="42" applyNumberFormat="1" applyFont="1" applyFill="1" applyBorder="1" applyAlignment="1">
      <alignment horizontal="center" wrapText="1"/>
    </xf>
    <xf numFmtId="43" fontId="3" fillId="0" borderId="10" xfId="42" applyNumberFormat="1" applyFont="1" applyFill="1" applyBorder="1" applyAlignment="1">
      <alignment horizontal="right" wrapText="1"/>
    </xf>
    <xf numFmtId="169" fontId="3" fillId="0" borderId="12" xfId="42" applyNumberFormat="1" applyFont="1" applyFill="1" applyBorder="1" applyAlignment="1">
      <alignment horizontal="center" wrapText="1"/>
    </xf>
    <xf numFmtId="169" fontId="3" fillId="0" borderId="12" xfId="42" applyNumberFormat="1" applyFont="1" applyFill="1" applyBorder="1" applyAlignment="1">
      <alignment horizontal="right" wrapText="1"/>
    </xf>
    <xf numFmtId="43" fontId="3" fillId="0" borderId="12" xfId="42" applyNumberFormat="1" applyFont="1" applyFill="1" applyBorder="1" applyAlignment="1">
      <alignment horizontal="right" wrapText="1"/>
    </xf>
    <xf numFmtId="182" fontId="2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1" fontId="12" fillId="0" borderId="14" xfId="106" applyNumberFormat="1" applyFont="1" applyFill="1" applyBorder="1" applyAlignment="1">
      <alignment horizontal="center" vertical="center"/>
      <protection/>
    </xf>
    <xf numFmtId="41" fontId="12" fillId="0" borderId="14" xfId="106" applyNumberFormat="1" applyFont="1" applyFill="1" applyBorder="1" applyAlignment="1">
      <alignment horizontal="center" vertical="center" wrapText="1"/>
      <protection/>
    </xf>
    <xf numFmtId="164" fontId="12" fillId="0" borderId="14" xfId="106" applyNumberFormat="1" applyFont="1" applyFill="1" applyBorder="1" applyAlignment="1">
      <alignment horizontal="center" vertical="center" wrapText="1"/>
      <protection/>
    </xf>
    <xf numFmtId="0" fontId="12" fillId="0" borderId="14" xfId="106" applyFont="1" applyFill="1" applyBorder="1" applyAlignment="1">
      <alignment horizontal="center" vertical="center" wrapText="1"/>
      <protection/>
    </xf>
    <xf numFmtId="0" fontId="12" fillId="0" borderId="28" xfId="0" applyNumberFormat="1" applyFont="1" applyFill="1" applyBorder="1" applyAlignment="1">
      <alignment wrapText="1"/>
    </xf>
    <xf numFmtId="0" fontId="12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right"/>
    </xf>
    <xf numFmtId="4" fontId="12" fillId="0" borderId="2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1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41" fontId="12" fillId="0" borderId="10" xfId="67" applyNumberFormat="1" applyFont="1" applyFill="1" applyBorder="1" applyAlignment="1">
      <alignment horizontal="center"/>
      <protection/>
    </xf>
    <xf numFmtId="164" fontId="12" fillId="0" borderId="10" xfId="67" applyNumberFormat="1" applyFont="1" applyFill="1" applyBorder="1" applyAlignment="1">
      <alignment horizontal="right"/>
      <protection/>
    </xf>
    <xf numFmtId="4" fontId="12" fillId="0" borderId="10" xfId="67" applyNumberFormat="1" applyFont="1" applyFill="1" applyBorder="1" applyAlignment="1">
      <alignment horizontal="right"/>
      <protection/>
    </xf>
    <xf numFmtId="41" fontId="12" fillId="0" borderId="10" xfId="0" applyNumberFormat="1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left" indent="1"/>
    </xf>
    <xf numFmtId="4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1" fontId="12" fillId="0" borderId="10" xfId="67" applyNumberFormat="1" applyFont="1" applyFill="1" applyBorder="1" applyAlignment="1">
      <alignment/>
      <protection/>
    </xf>
    <xf numFmtId="41" fontId="6" fillId="0" borderId="10" xfId="67" applyNumberFormat="1" applyFont="1" applyFill="1" applyBorder="1" applyAlignment="1">
      <alignment/>
      <protection/>
    </xf>
    <xf numFmtId="41" fontId="6" fillId="0" borderId="10" xfId="67" applyNumberFormat="1" applyFont="1" applyFill="1" applyBorder="1" applyAlignment="1">
      <alignment horizontal="center"/>
      <protection/>
    </xf>
    <xf numFmtId="4" fontId="6" fillId="0" borderId="10" xfId="67" applyNumberFormat="1" applyFont="1" applyFill="1" applyBorder="1" applyAlignment="1">
      <alignment horizontal="right"/>
      <protection/>
    </xf>
    <xf numFmtId="41" fontId="2" fillId="0" borderId="10" xfId="67" applyNumberFormat="1" applyFont="1" applyFill="1" applyBorder="1" applyAlignment="1">
      <alignment horizontal="left" indent="1"/>
      <protection/>
    </xf>
    <xf numFmtId="41" fontId="2" fillId="0" borderId="10" xfId="67" applyNumberFormat="1" applyFont="1" applyFill="1" applyBorder="1" applyAlignment="1">
      <alignment horizontal="center"/>
      <protection/>
    </xf>
    <xf numFmtId="4" fontId="2" fillId="0" borderId="10" xfId="67" applyNumberFormat="1" applyFont="1" applyFill="1" applyBorder="1" applyAlignment="1">
      <alignment horizontal="right"/>
      <protection/>
    </xf>
    <xf numFmtId="3" fontId="2" fillId="0" borderId="10" xfId="67" applyNumberFormat="1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center"/>
    </xf>
    <xf numFmtId="41" fontId="2" fillId="0" borderId="12" xfId="67" applyNumberFormat="1" applyFont="1" applyFill="1" applyBorder="1" applyAlignment="1">
      <alignment horizontal="left" indent="1"/>
      <protection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6" fillId="0" borderId="28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170" fontId="12" fillId="0" borderId="10" xfId="42" applyNumberFormat="1" applyFont="1" applyFill="1" applyBorder="1" applyAlignment="1">
      <alignment horizontal="right" wrapText="1"/>
    </xf>
    <xf numFmtId="2" fontId="12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1" fontId="4" fillId="0" borderId="10" xfId="0" applyNumberFormat="1" applyFont="1" applyFill="1" applyBorder="1" applyAlignment="1">
      <alignment horizontal="left" wrapText="1"/>
    </xf>
    <xf numFmtId="170" fontId="4" fillId="0" borderId="10" xfId="42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" fontId="3" fillId="0" borderId="10" xfId="0" applyNumberFormat="1" applyFont="1" applyFill="1" applyBorder="1" applyAlignment="1">
      <alignment horizontal="left" wrapText="1"/>
    </xf>
    <xf numFmtId="170" fontId="3" fillId="0" borderId="10" xfId="42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left" wrapText="1" indent="2"/>
    </xf>
    <xf numFmtId="0" fontId="14" fillId="0" borderId="0" xfId="0" applyFont="1" applyAlignment="1">
      <alignment/>
    </xf>
    <xf numFmtId="1" fontId="3" fillId="0" borderId="12" xfId="0" applyNumberFormat="1" applyFont="1" applyFill="1" applyBorder="1" applyAlignment="1">
      <alignment horizontal="left" wrapText="1"/>
    </xf>
    <xf numFmtId="170" fontId="3" fillId="0" borderId="12" xfId="42" applyNumberFormat="1" applyFont="1" applyFill="1" applyBorder="1" applyAlignment="1">
      <alignment horizontal="right" wrapText="1"/>
    </xf>
    <xf numFmtId="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1" xfId="0" applyNumberFormat="1" applyFont="1" applyFill="1" applyBorder="1" applyAlignment="1">
      <alignment horizontal="left" wrapText="1" indent="1"/>
    </xf>
    <xf numFmtId="3" fontId="4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left" wrapText="1"/>
    </xf>
    <xf numFmtId="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4" fillId="0" borderId="29" xfId="0" applyNumberFormat="1" applyFont="1" applyFill="1" applyBorder="1" applyAlignment="1">
      <alignment horizontal="left" wrapText="1" indent="3"/>
    </xf>
    <xf numFmtId="3" fontId="14" fillId="0" borderId="29" xfId="0" applyNumberFormat="1" applyFont="1" applyFill="1" applyBorder="1" applyAlignment="1">
      <alignment horizontal="right" wrapText="1"/>
    </xf>
    <xf numFmtId="4" fontId="14" fillId="0" borderId="29" xfId="0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right" wrapText="1"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3" fillId="0" borderId="29" xfId="0" applyNumberFormat="1" applyFont="1" applyFill="1" applyBorder="1" applyAlignment="1">
      <alignment horizontal="left" wrapText="1" indent="1"/>
    </xf>
    <xf numFmtId="3" fontId="3" fillId="0" borderId="29" xfId="0" applyNumberFormat="1" applyFont="1" applyFill="1" applyBorder="1" applyAlignment="1">
      <alignment horizontal="right" wrapText="1"/>
    </xf>
    <xf numFmtId="4" fontId="3" fillId="0" borderId="29" xfId="0" applyNumberFormat="1" applyFont="1" applyFill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left" wrapText="1" indent="1"/>
    </xf>
    <xf numFmtId="3" fontId="3" fillId="0" borderId="12" xfId="0" applyNumberFormat="1" applyFont="1" applyFill="1" applyBorder="1" applyAlignment="1">
      <alignment horizontal="right" wrapText="1"/>
    </xf>
    <xf numFmtId="4" fontId="14" fillId="0" borderId="12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4" fontId="3" fillId="0" borderId="17" xfId="0" applyNumberFormat="1" applyFont="1" applyFill="1" applyBorder="1" applyAlignment="1" quotePrefix="1">
      <alignment horizontal="right" wrapText="1"/>
    </xf>
    <xf numFmtId="4" fontId="3" fillId="0" borderId="25" xfId="0" applyNumberFormat="1" applyFont="1" applyFill="1" applyBorder="1" applyAlignment="1" quotePrefix="1">
      <alignment horizontal="right" wrapText="1"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left" wrapText="1" indent="1"/>
    </xf>
    <xf numFmtId="0" fontId="2" fillId="0" borderId="10" xfId="0" applyNumberFormat="1" applyFont="1" applyFill="1" applyBorder="1" applyAlignment="1">
      <alignment horizontal="left" wrapText="1" indent="3"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3"/>
    </xf>
    <xf numFmtId="0" fontId="2" fillId="0" borderId="12" xfId="0" applyNumberFormat="1" applyFont="1" applyFill="1" applyBorder="1" applyAlignment="1">
      <alignment horizontal="left" wrapText="1" indent="3"/>
    </xf>
    <xf numFmtId="0" fontId="12" fillId="0" borderId="11" xfId="0" applyNumberFormat="1" applyFont="1" applyFill="1" applyBorder="1" applyAlignment="1">
      <alignment horizontal="left" wrapText="1" indent="1"/>
    </xf>
    <xf numFmtId="0" fontId="12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 indent="3"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69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2" xfId="69"/>
    <cellStyle name="Normal 2 11" xfId="70"/>
    <cellStyle name="Normal 2 11 2" xfId="71"/>
    <cellStyle name="Normal 2 12" xfId="72"/>
    <cellStyle name="Normal 2 12 2" xfId="73"/>
    <cellStyle name="Normal 2 13" xfId="74"/>
    <cellStyle name="Normal 2 13 2" xfId="75"/>
    <cellStyle name="Normal 2 14" xfId="76"/>
    <cellStyle name="Normal 2 15" xfId="77"/>
    <cellStyle name="Normal 2 16" xfId="78"/>
    <cellStyle name="Normal 2 17" xfId="79"/>
    <cellStyle name="Normal 2 18" xfId="80"/>
    <cellStyle name="Normal 2 19" xfId="81"/>
    <cellStyle name="Normal 2 2" xfId="82"/>
    <cellStyle name="Normal 2 20" xfId="83"/>
    <cellStyle name="Normal 2 21" xfId="84"/>
    <cellStyle name="Normal 2 3" xfId="85"/>
    <cellStyle name="Normal 2 4" xfId="86"/>
    <cellStyle name="Normal 2 5" xfId="87"/>
    <cellStyle name="Normal 2 5 2" xfId="88"/>
    <cellStyle name="Normal 2 6" xfId="89"/>
    <cellStyle name="Normal 2 6 2" xfId="90"/>
    <cellStyle name="Normal 2 7" xfId="91"/>
    <cellStyle name="Normal 2 7 2" xfId="92"/>
    <cellStyle name="Normal 2 8" xfId="93"/>
    <cellStyle name="Normal 2 8 2" xfId="94"/>
    <cellStyle name="Normal 2 9" xfId="95"/>
    <cellStyle name="Normal 2 9 2" xfId="96"/>
    <cellStyle name="Normal 20" xfId="97"/>
    <cellStyle name="Normal 21" xfId="98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rmal_Sheet1" xfId="106"/>
    <cellStyle name="Note" xfId="107"/>
    <cellStyle name="Output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T25%20KT-XH%20Uoc%20tinh%20ca%20nam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CHI TIEU"/>
    </sheetNames>
    <sheetDataSet>
      <sheetData sheetId="1">
        <row r="8">
          <cell r="C8">
            <v>1340813</v>
          </cell>
          <cell r="D8">
            <v>1349300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8"/>
  <sheetViews>
    <sheetView tabSelected="1" zoomScalePageLayoutView="0" workbookViewId="0" topLeftCell="A10">
      <selection activeCell="D23" sqref="D23"/>
    </sheetView>
  </sheetViews>
  <sheetFormatPr defaultColWidth="9.00390625" defaultRowHeight="15.75"/>
  <cols>
    <col min="1" max="1" width="37.875" style="68" customWidth="1"/>
    <col min="2" max="2" width="11.25390625" style="344" customWidth="1"/>
    <col min="3" max="5" width="11.25390625" style="68" customWidth="1"/>
    <col min="6" max="16384" width="9.00390625" style="68" customWidth="1"/>
  </cols>
  <sheetData>
    <row r="2" spans="1:2" s="279" customFormat="1" ht="18.75">
      <c r="A2" s="342" t="s">
        <v>212</v>
      </c>
      <c r="B2" s="343"/>
    </row>
    <row r="4" spans="1:5" s="344" customFormat="1" ht="56.25" customHeight="1">
      <c r="A4" s="236" t="s">
        <v>190</v>
      </c>
      <c r="B4" s="237" t="s">
        <v>16</v>
      </c>
      <c r="C4" s="238" t="s">
        <v>213</v>
      </c>
      <c r="D4" s="238" t="s">
        <v>214</v>
      </c>
      <c r="E4" s="239" t="s">
        <v>215</v>
      </c>
    </row>
    <row r="5" spans="1:5" s="244" customFormat="1" ht="24" customHeight="1">
      <c r="A5" s="240" t="s">
        <v>191</v>
      </c>
      <c r="B5" s="241"/>
      <c r="C5" s="242"/>
      <c r="D5" s="242"/>
      <c r="E5" s="243"/>
    </row>
    <row r="6" spans="1:5" s="244" customFormat="1" ht="18" customHeight="1">
      <c r="A6" s="245" t="s">
        <v>192</v>
      </c>
      <c r="B6" s="246" t="s">
        <v>193</v>
      </c>
      <c r="C6" s="247">
        <f>'[1]CHI TIEU'!$C$8</f>
        <v>1340813</v>
      </c>
      <c r="D6" s="247">
        <f>'[1]CHI TIEU'!$D$8</f>
        <v>1349300</v>
      </c>
      <c r="E6" s="248">
        <f>D6/C6*100</f>
        <v>100.63297417313225</v>
      </c>
    </row>
    <row r="7" spans="1:5" s="244" customFormat="1" ht="18" customHeight="1">
      <c r="A7" s="245" t="s">
        <v>194</v>
      </c>
      <c r="B7" s="246" t="s">
        <v>195</v>
      </c>
      <c r="C7" s="341">
        <v>725.8</v>
      </c>
      <c r="D7" s="341">
        <v>732.4</v>
      </c>
      <c r="E7" s="248">
        <f>D7/C7*100</f>
        <v>100.90934141636816</v>
      </c>
    </row>
    <row r="8" spans="1:5" s="244" customFormat="1" ht="18" customHeight="1">
      <c r="A8" s="245" t="s">
        <v>196</v>
      </c>
      <c r="B8" s="246" t="s">
        <v>195</v>
      </c>
      <c r="C8" s="341">
        <v>710.895</v>
      </c>
      <c r="D8" s="341">
        <v>717.1</v>
      </c>
      <c r="E8" s="248">
        <f>D8/C8*100</f>
        <v>100.87284338756075</v>
      </c>
    </row>
    <row r="9" spans="1:5" ht="20.25" customHeight="1">
      <c r="A9" s="55" t="s">
        <v>197</v>
      </c>
      <c r="B9" s="249"/>
      <c r="C9" s="250"/>
      <c r="D9" s="250"/>
      <c r="E9" s="251"/>
    </row>
    <row r="10" spans="1:5" ht="15.75">
      <c r="A10" s="245" t="s">
        <v>198</v>
      </c>
      <c r="B10" s="252" t="s">
        <v>151</v>
      </c>
      <c r="C10" s="247">
        <f>C12+C13+C14</f>
        <v>27453686</v>
      </c>
      <c r="D10" s="247">
        <f>D12+D13+D14</f>
        <v>30450659</v>
      </c>
      <c r="E10" s="248">
        <f>D10/C10*100</f>
        <v>110.91646855726405</v>
      </c>
    </row>
    <row r="11" spans="1:5" ht="18" customHeight="1">
      <c r="A11" s="253" t="s">
        <v>199</v>
      </c>
      <c r="B11" s="254"/>
      <c r="C11" s="255"/>
      <c r="D11" s="256"/>
      <c r="E11" s="256"/>
    </row>
    <row r="12" spans="1:5" ht="18" customHeight="1">
      <c r="A12" s="257" t="s">
        <v>200</v>
      </c>
      <c r="B12" s="258" t="s">
        <v>201</v>
      </c>
      <c r="C12" s="259">
        <v>7642382</v>
      </c>
      <c r="D12" s="259">
        <v>8352373</v>
      </c>
      <c r="E12" s="260">
        <f>D12/C12*100</f>
        <v>109.29017942311702</v>
      </c>
    </row>
    <row r="13" spans="1:5" ht="18" customHeight="1">
      <c r="A13" s="257" t="s">
        <v>202</v>
      </c>
      <c r="B13" s="258" t="s">
        <v>201</v>
      </c>
      <c r="C13" s="259">
        <v>11216800</v>
      </c>
      <c r="D13" s="259">
        <v>12453977</v>
      </c>
      <c r="E13" s="260">
        <f>D13/C13*100</f>
        <v>111.02967869624136</v>
      </c>
    </row>
    <row r="14" spans="1:5" ht="18" customHeight="1">
      <c r="A14" s="257" t="s">
        <v>203</v>
      </c>
      <c r="B14" s="258" t="s">
        <v>201</v>
      </c>
      <c r="C14" s="259">
        <v>8594504</v>
      </c>
      <c r="D14" s="259">
        <v>9644309</v>
      </c>
      <c r="E14" s="260">
        <f>D14/C14*100</f>
        <v>112.2148410193305</v>
      </c>
    </row>
    <row r="15" spans="1:5" ht="18" customHeight="1">
      <c r="A15" s="261" t="s">
        <v>204</v>
      </c>
      <c r="B15" s="249" t="s">
        <v>151</v>
      </c>
      <c r="C15" s="247">
        <f>C17+C18+C19</f>
        <v>21945894</v>
      </c>
      <c r="D15" s="247">
        <f>D17+D18+D19</f>
        <v>23357480</v>
      </c>
      <c r="E15" s="251">
        <f>D15/C15*100</f>
        <v>106.43211891937507</v>
      </c>
    </row>
    <row r="16" spans="1:5" ht="18" customHeight="1">
      <c r="A16" s="262" t="s">
        <v>199</v>
      </c>
      <c r="B16" s="263"/>
      <c r="C16" s="255"/>
      <c r="D16" s="255"/>
      <c r="E16" s="264"/>
    </row>
    <row r="17" spans="1:5" ht="18" customHeight="1">
      <c r="A17" s="265" t="s">
        <v>200</v>
      </c>
      <c r="B17" s="266" t="s">
        <v>201</v>
      </c>
      <c r="C17" s="259">
        <v>6197426</v>
      </c>
      <c r="D17" s="259">
        <v>6546527</v>
      </c>
      <c r="E17" s="267">
        <f>D17/C17*100</f>
        <v>105.63299989382688</v>
      </c>
    </row>
    <row r="18" spans="1:5" ht="18" customHeight="1">
      <c r="A18" s="265" t="s">
        <v>202</v>
      </c>
      <c r="B18" s="266" t="s">
        <v>201</v>
      </c>
      <c r="C18" s="268">
        <v>8861421</v>
      </c>
      <c r="D18" s="268">
        <v>9460064</v>
      </c>
      <c r="E18" s="267">
        <f>D18/C18*100</f>
        <v>106.75560951228928</v>
      </c>
    </row>
    <row r="19" spans="1:5" ht="18" customHeight="1">
      <c r="A19" s="265" t="s">
        <v>203</v>
      </c>
      <c r="B19" s="266" t="s">
        <v>201</v>
      </c>
      <c r="C19" s="268">
        <v>6887047</v>
      </c>
      <c r="D19" s="268">
        <v>7350889</v>
      </c>
      <c r="E19" s="267">
        <f>D19/C19*100</f>
        <v>106.73499106365907</v>
      </c>
    </row>
    <row r="20" spans="1:5" ht="18" customHeight="1">
      <c r="A20" s="261" t="s">
        <v>205</v>
      </c>
      <c r="B20" s="249" t="s">
        <v>206</v>
      </c>
      <c r="C20" s="251">
        <f>C21+C22+C23</f>
        <v>99.99453522561596</v>
      </c>
      <c r="D20" s="251">
        <f>D21+D22+D23</f>
        <v>100</v>
      </c>
      <c r="E20" s="251" t="s">
        <v>207</v>
      </c>
    </row>
    <row r="21" spans="1:5" ht="18" customHeight="1">
      <c r="A21" s="265" t="s">
        <v>200</v>
      </c>
      <c r="B21" s="266" t="s">
        <v>201</v>
      </c>
      <c r="C21" s="267">
        <f>C12/C10*100</f>
        <v>27.837362166960023</v>
      </c>
      <c r="D21" s="267">
        <f>D12/D10*100</f>
        <v>27.42920276372344</v>
      </c>
      <c r="E21" s="267" t="s">
        <v>207</v>
      </c>
    </row>
    <row r="22" spans="1:5" ht="18" customHeight="1">
      <c r="A22" s="265" t="s">
        <v>202</v>
      </c>
      <c r="B22" s="266" t="s">
        <v>201</v>
      </c>
      <c r="C22" s="267">
        <f>C13/C10*100</f>
        <v>40.857173058655945</v>
      </c>
      <c r="D22" s="267">
        <f>D13/D10*100</f>
        <v>40.8988751277928</v>
      </c>
      <c r="E22" s="267" t="s">
        <v>207</v>
      </c>
    </row>
    <row r="23" spans="1:5" ht="18" customHeight="1">
      <c r="A23" s="265" t="s">
        <v>203</v>
      </c>
      <c r="B23" s="266" t="s">
        <v>201</v>
      </c>
      <c r="C23" s="267">
        <v>31.3</v>
      </c>
      <c r="D23" s="267">
        <f>D14/D10*100</f>
        <v>31.671922108483763</v>
      </c>
      <c r="E23" s="267" t="s">
        <v>207</v>
      </c>
    </row>
    <row r="24" spans="1:5" ht="18" customHeight="1">
      <c r="A24" s="261" t="s">
        <v>208</v>
      </c>
      <c r="B24" s="266"/>
      <c r="C24" s="267"/>
      <c r="D24" s="267"/>
      <c r="E24" s="267"/>
    </row>
    <row r="25" spans="1:5" s="244" customFormat="1" ht="18" customHeight="1">
      <c r="A25" s="261" t="s">
        <v>209</v>
      </c>
      <c r="B25" s="246" t="s">
        <v>151</v>
      </c>
      <c r="C25" s="247">
        <v>5346531</v>
      </c>
      <c r="D25" s="247">
        <v>2752700</v>
      </c>
      <c r="E25" s="248">
        <f>D25/C25*100</f>
        <v>51.4857203670941</v>
      </c>
    </row>
    <row r="26" spans="1:5" s="7" customFormat="1" ht="18" customHeight="1">
      <c r="A26" s="265" t="s">
        <v>210</v>
      </c>
      <c r="B26" s="269" t="s">
        <v>81</v>
      </c>
      <c r="C26" s="259">
        <v>2619232</v>
      </c>
      <c r="D26" s="259">
        <v>2550700</v>
      </c>
      <c r="E26" s="260">
        <f>D26/C26*100</f>
        <v>97.38350783741188</v>
      </c>
    </row>
    <row r="27" spans="1:5" s="244" customFormat="1" ht="18" customHeight="1">
      <c r="A27" s="261" t="s">
        <v>399</v>
      </c>
      <c r="B27" s="246" t="s">
        <v>151</v>
      </c>
      <c r="C27" s="247">
        <v>11052582</v>
      </c>
      <c r="D27" s="247">
        <v>9599398</v>
      </c>
      <c r="E27" s="248">
        <f>D27/C27*100</f>
        <v>86.85208578411815</v>
      </c>
    </row>
    <row r="28" spans="1:5" s="7" customFormat="1" ht="18" customHeight="1">
      <c r="A28" s="270" t="s">
        <v>211</v>
      </c>
      <c r="B28" s="271" t="s">
        <v>81</v>
      </c>
      <c r="C28" s="272">
        <v>5769670</v>
      </c>
      <c r="D28" s="272">
        <v>6509663</v>
      </c>
      <c r="E28" s="273">
        <f>D28/C28*100</f>
        <v>112.8255688800226</v>
      </c>
    </row>
  </sheetData>
  <sheetProtection/>
  <printOptions/>
  <pageMargins left="0.7" right="0.3" top="0.6" bottom="0.6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J25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19" sqref="A19:IV19"/>
    </sheetView>
  </sheetViews>
  <sheetFormatPr defaultColWidth="9.00390625" defaultRowHeight="15.75"/>
  <cols>
    <col min="1" max="1" width="26.00390625" style="8" customWidth="1"/>
    <col min="2" max="2" width="8.25390625" style="8" customWidth="1"/>
    <col min="3" max="8" width="8.00390625" style="8" customWidth="1"/>
    <col min="9" max="16384" width="9.00390625" style="8" customWidth="1"/>
  </cols>
  <sheetData>
    <row r="1" ht="22.5" customHeight="1"/>
    <row r="2" spans="1:8" ht="26.25" customHeight="1">
      <c r="A2" s="3" t="s">
        <v>329</v>
      </c>
      <c r="B2" s="7"/>
      <c r="C2" s="7"/>
      <c r="D2" s="7"/>
      <c r="E2" s="7"/>
      <c r="G2" s="7"/>
      <c r="H2" s="7"/>
    </row>
    <row r="3" spans="1:8" ht="8.25" customHeight="1">
      <c r="A3" s="7"/>
      <c r="B3" s="7"/>
      <c r="C3" s="7"/>
      <c r="D3" s="7"/>
      <c r="E3" s="7"/>
      <c r="G3" s="7"/>
      <c r="H3" s="7"/>
    </row>
    <row r="4" spans="1:8" ht="33" customHeight="1">
      <c r="A4" s="380" t="s">
        <v>0</v>
      </c>
      <c r="B4" s="380" t="s">
        <v>1</v>
      </c>
      <c r="C4" s="372" t="s">
        <v>111</v>
      </c>
      <c r="D4" s="366"/>
      <c r="E4" s="367"/>
      <c r="F4" s="376" t="s">
        <v>284</v>
      </c>
      <c r="G4" s="365" t="s">
        <v>17</v>
      </c>
      <c r="H4" s="377"/>
    </row>
    <row r="5" spans="1:8" ht="48.75" customHeight="1">
      <c r="A5" s="381"/>
      <c r="B5" s="381"/>
      <c r="C5" s="121" t="s">
        <v>281</v>
      </c>
      <c r="D5" s="26" t="s">
        <v>282</v>
      </c>
      <c r="E5" s="26" t="s">
        <v>283</v>
      </c>
      <c r="F5" s="361"/>
      <c r="G5" s="26" t="s">
        <v>86</v>
      </c>
      <c r="H5" s="27" t="s">
        <v>172</v>
      </c>
    </row>
    <row r="6" spans="1:8" s="10" customFormat="1" ht="27" customHeight="1">
      <c r="A6" s="104" t="s">
        <v>37</v>
      </c>
      <c r="B6" s="98" t="s">
        <v>32</v>
      </c>
      <c r="C6" s="79">
        <f>C7+C8+C9+C10</f>
        <v>50934.700000000004</v>
      </c>
      <c r="D6" s="79">
        <f>D7+D8+D9+D10</f>
        <v>52167.5</v>
      </c>
      <c r="E6" s="79">
        <f>E7+E8+E9+E10</f>
        <v>601443.5</v>
      </c>
      <c r="F6" s="79">
        <f>F7+F8+F9+F10</f>
        <v>547289.6000000001</v>
      </c>
      <c r="G6" s="80">
        <f aca="true" t="shared" si="0" ref="G6:G22">D6/C6*100</f>
        <v>102.42035390411644</v>
      </c>
      <c r="H6" s="81">
        <f aca="true" t="shared" si="1" ref="H6:H22">E6/F6*100</f>
        <v>109.89492583085809</v>
      </c>
    </row>
    <row r="7" spans="1:8" ht="22.5" customHeight="1">
      <c r="A7" s="70" t="s">
        <v>25</v>
      </c>
      <c r="B7" s="71" t="s">
        <v>81</v>
      </c>
      <c r="C7" s="82">
        <v>7045.6</v>
      </c>
      <c r="D7" s="82">
        <v>6530</v>
      </c>
      <c r="E7" s="82">
        <f>76545.2+6530</f>
        <v>83075.2</v>
      </c>
      <c r="F7" s="82">
        <v>98715.3</v>
      </c>
      <c r="G7" s="83">
        <f t="shared" si="0"/>
        <v>92.68195753377995</v>
      </c>
      <c r="H7" s="84">
        <f t="shared" si="1"/>
        <v>84.15635671471392</v>
      </c>
    </row>
    <row r="8" spans="1:8" ht="22.5" customHeight="1">
      <c r="A8" s="70" t="s">
        <v>26</v>
      </c>
      <c r="B8" s="71" t="s">
        <v>81</v>
      </c>
      <c r="C8" s="87">
        <v>0</v>
      </c>
      <c r="D8" s="87">
        <v>0</v>
      </c>
      <c r="E8" s="87">
        <v>0</v>
      </c>
      <c r="F8" s="87">
        <v>0</v>
      </c>
      <c r="G8" s="83"/>
      <c r="H8" s="84"/>
    </row>
    <row r="9" spans="1:8" ht="22.5" customHeight="1">
      <c r="A9" s="70" t="s">
        <v>27</v>
      </c>
      <c r="B9" s="71" t="s">
        <v>81</v>
      </c>
      <c r="C9" s="86">
        <v>7199.8</v>
      </c>
      <c r="D9" s="86">
        <v>7695.5</v>
      </c>
      <c r="E9" s="82">
        <f>112686.6+7695.5</f>
        <v>120382.1</v>
      </c>
      <c r="F9" s="82">
        <v>102967.6</v>
      </c>
      <c r="G9" s="83">
        <f t="shared" si="0"/>
        <v>106.88491346981861</v>
      </c>
      <c r="H9" s="83">
        <f t="shared" si="1"/>
        <v>116.91260163391202</v>
      </c>
    </row>
    <row r="10" spans="1:8" ht="22.5" customHeight="1">
      <c r="A10" s="70" t="s">
        <v>28</v>
      </c>
      <c r="B10" s="71" t="s">
        <v>81</v>
      </c>
      <c r="C10" s="86">
        <v>36689.3</v>
      </c>
      <c r="D10" s="86">
        <v>37942</v>
      </c>
      <c r="E10" s="82">
        <f>360044.2+37942</f>
        <v>397986.2</v>
      </c>
      <c r="F10" s="82">
        <v>345606.7</v>
      </c>
      <c r="G10" s="83">
        <f t="shared" si="0"/>
        <v>103.41434696219333</v>
      </c>
      <c r="H10" s="83">
        <f t="shared" si="1"/>
        <v>115.1558115048117</v>
      </c>
    </row>
    <row r="11" spans="1:8" s="10" customFormat="1" ht="26.25" customHeight="1">
      <c r="A11" s="101" t="s">
        <v>38</v>
      </c>
      <c r="B11" s="102"/>
      <c r="C11" s="99"/>
      <c r="D11" s="99"/>
      <c r="E11" s="91"/>
      <c r="F11" s="103"/>
      <c r="G11" s="100"/>
      <c r="H11" s="100"/>
    </row>
    <row r="12" spans="1:8" ht="22.5" customHeight="1">
      <c r="A12" s="70" t="s">
        <v>39</v>
      </c>
      <c r="B12" s="71" t="s">
        <v>32</v>
      </c>
      <c r="C12" s="86">
        <v>9871</v>
      </c>
      <c r="D12" s="86">
        <v>9670</v>
      </c>
      <c r="E12" s="86">
        <f>98099+9670</f>
        <v>107769</v>
      </c>
      <c r="F12" s="86">
        <v>123338.5</v>
      </c>
      <c r="G12" s="83">
        <f t="shared" si="0"/>
        <v>97.9637321446662</v>
      </c>
      <c r="H12" s="83">
        <f t="shared" si="1"/>
        <v>87.37660989877452</v>
      </c>
    </row>
    <row r="13" spans="1:10" ht="22.5" customHeight="1">
      <c r="A13" s="70" t="s">
        <v>87</v>
      </c>
      <c r="B13" s="71" t="s">
        <v>15</v>
      </c>
      <c r="C13" s="82">
        <v>8731.4</v>
      </c>
      <c r="D13" s="82">
        <v>9698</v>
      </c>
      <c r="E13" s="82">
        <f>87800+9698</f>
        <v>97498</v>
      </c>
      <c r="F13" s="82">
        <v>79075</v>
      </c>
      <c r="G13" s="83">
        <f t="shared" si="0"/>
        <v>111.07038962823832</v>
      </c>
      <c r="H13" s="83">
        <f t="shared" si="1"/>
        <v>123.29813468226367</v>
      </c>
      <c r="J13" s="8" t="s">
        <v>95</v>
      </c>
    </row>
    <row r="14" spans="1:8" ht="22.5" customHeight="1">
      <c r="A14" s="70" t="s">
        <v>41</v>
      </c>
      <c r="B14" s="71" t="s">
        <v>81</v>
      </c>
      <c r="C14" s="85">
        <v>0</v>
      </c>
      <c r="D14" s="85">
        <v>0</v>
      </c>
      <c r="E14" s="82">
        <v>11654</v>
      </c>
      <c r="F14" s="82">
        <v>9718.5</v>
      </c>
      <c r="G14" s="332" t="s">
        <v>207</v>
      </c>
      <c r="H14" s="83">
        <f t="shared" si="1"/>
        <v>119.91562483922415</v>
      </c>
    </row>
    <row r="15" spans="1:8" ht="22.5" customHeight="1">
      <c r="A15" s="70" t="s">
        <v>88</v>
      </c>
      <c r="B15" s="71" t="s">
        <v>81</v>
      </c>
      <c r="C15" s="85">
        <v>100</v>
      </c>
      <c r="D15" s="85">
        <v>106</v>
      </c>
      <c r="E15" s="82">
        <f>4073.8+106</f>
        <v>4179.8</v>
      </c>
      <c r="F15" s="85">
        <v>3979</v>
      </c>
      <c r="G15" s="83">
        <f t="shared" si="0"/>
        <v>106</v>
      </c>
      <c r="H15" s="83">
        <f t="shared" si="1"/>
        <v>105.04649409399347</v>
      </c>
    </row>
    <row r="16" spans="1:8" ht="22.5" customHeight="1">
      <c r="A16" s="70" t="s">
        <v>80</v>
      </c>
      <c r="B16" s="71" t="s">
        <v>81</v>
      </c>
      <c r="C16" s="82">
        <v>4470</v>
      </c>
      <c r="D16" s="82">
        <v>4617</v>
      </c>
      <c r="E16" s="82">
        <f>22318.1+4617</f>
        <v>26935.1</v>
      </c>
      <c r="F16" s="82">
        <v>23526.3</v>
      </c>
      <c r="G16" s="83">
        <f t="shared" si="0"/>
        <v>103.28859060402684</v>
      </c>
      <c r="H16" s="83">
        <f t="shared" si="1"/>
        <v>114.48931621206904</v>
      </c>
    </row>
    <row r="17" spans="1:8" ht="22.5" customHeight="1">
      <c r="A17" s="70" t="s">
        <v>40</v>
      </c>
      <c r="B17" s="71" t="s">
        <v>81</v>
      </c>
      <c r="C17" s="167">
        <v>0</v>
      </c>
      <c r="D17" s="167">
        <v>0</v>
      </c>
      <c r="E17" s="82">
        <v>5437</v>
      </c>
      <c r="F17" s="82">
        <v>2055.2</v>
      </c>
      <c r="G17" s="332" t="s">
        <v>207</v>
      </c>
      <c r="H17" s="87">
        <f t="shared" si="1"/>
        <v>264.5484624367458</v>
      </c>
    </row>
    <row r="18" spans="1:8" ht="22.5" customHeight="1">
      <c r="A18" s="70" t="s">
        <v>42</v>
      </c>
      <c r="B18" s="71" t="s">
        <v>32</v>
      </c>
      <c r="C18" s="82">
        <v>16214.7</v>
      </c>
      <c r="D18" s="82">
        <v>15587.8</v>
      </c>
      <c r="E18" s="82">
        <f>161475+15588</f>
        <v>177063</v>
      </c>
      <c r="F18" s="82">
        <v>178568.4</v>
      </c>
      <c r="G18" s="83">
        <f t="shared" si="0"/>
        <v>96.13375517277531</v>
      </c>
      <c r="H18" s="83">
        <f t="shared" si="1"/>
        <v>99.15696170207046</v>
      </c>
    </row>
    <row r="19" spans="1:8" ht="22.5" customHeight="1">
      <c r="A19" s="70" t="s">
        <v>43</v>
      </c>
      <c r="B19" s="71" t="s">
        <v>81</v>
      </c>
      <c r="C19" s="82">
        <v>2587.3</v>
      </c>
      <c r="D19" s="82">
        <v>3033</v>
      </c>
      <c r="E19" s="82">
        <f>41886+3033</f>
        <v>44919</v>
      </c>
      <c r="F19" s="82">
        <v>22690.5</v>
      </c>
      <c r="G19" s="83">
        <f t="shared" si="0"/>
        <v>117.22645228616703</v>
      </c>
      <c r="H19" s="83">
        <f t="shared" si="1"/>
        <v>197.9639055992596</v>
      </c>
    </row>
    <row r="20" spans="1:8" ht="24" customHeight="1">
      <c r="A20" s="70" t="s">
        <v>89</v>
      </c>
      <c r="B20" s="71" t="s">
        <v>81</v>
      </c>
      <c r="C20" s="82">
        <v>230</v>
      </c>
      <c r="D20" s="82">
        <v>210</v>
      </c>
      <c r="E20" s="82">
        <f>5470+210</f>
        <v>5680</v>
      </c>
      <c r="F20" s="82">
        <v>6984</v>
      </c>
      <c r="G20" s="83">
        <f t="shared" si="0"/>
        <v>91.30434782608695</v>
      </c>
      <c r="H20" s="84">
        <f t="shared" si="1"/>
        <v>81.32875143184421</v>
      </c>
    </row>
    <row r="21" spans="1:8" ht="22.5" customHeight="1">
      <c r="A21" s="70" t="s">
        <v>44</v>
      </c>
      <c r="B21" s="71" t="s">
        <v>81</v>
      </c>
      <c r="C21" s="82">
        <v>3518.3</v>
      </c>
      <c r="D21" s="82">
        <v>2850</v>
      </c>
      <c r="E21" s="82">
        <v>6439.6</v>
      </c>
      <c r="F21" s="82">
        <v>3576.7</v>
      </c>
      <c r="G21" s="83">
        <f t="shared" si="0"/>
        <v>81.00503083875735</v>
      </c>
      <c r="H21" s="83">
        <f t="shared" si="1"/>
        <v>180.04305644868177</v>
      </c>
    </row>
    <row r="22" spans="1:8" ht="22.5" customHeight="1">
      <c r="A22" s="72" t="s">
        <v>45</v>
      </c>
      <c r="B22" s="73" t="s">
        <v>81</v>
      </c>
      <c r="C22" s="85">
        <v>304.9</v>
      </c>
      <c r="D22" s="85">
        <v>481.9</v>
      </c>
      <c r="E22" s="86">
        <f>5957.7+482</f>
        <v>6439.7</v>
      </c>
      <c r="F22" s="86">
        <v>3760</v>
      </c>
      <c r="G22" s="83">
        <f t="shared" si="0"/>
        <v>158.05182026894065</v>
      </c>
      <c r="H22" s="83">
        <f t="shared" si="1"/>
        <v>171.26861702127658</v>
      </c>
    </row>
    <row r="23" spans="1:8" ht="22.5" customHeight="1">
      <c r="A23" s="74"/>
      <c r="B23" s="75"/>
      <c r="C23" s="88"/>
      <c r="D23" s="88"/>
      <c r="E23" s="88"/>
      <c r="F23" s="88"/>
      <c r="G23" s="89"/>
      <c r="H23" s="90"/>
    </row>
    <row r="24" spans="1:8" ht="16.5" customHeight="1">
      <c r="A24" s="34"/>
      <c r="B24" s="35"/>
      <c r="C24" s="33"/>
      <c r="D24" s="33"/>
      <c r="E24" s="33"/>
      <c r="G24" s="33"/>
      <c r="H24" s="33"/>
    </row>
    <row r="25" spans="1:8" ht="22.5" customHeight="1">
      <c r="A25" s="34"/>
      <c r="B25" s="35"/>
      <c r="C25" s="33"/>
      <c r="D25" s="33"/>
      <c r="E25" s="33"/>
      <c r="G25" s="33"/>
      <c r="H25" s="33"/>
    </row>
  </sheetData>
  <sheetProtection/>
  <mergeCells count="5">
    <mergeCell ref="F4:F5"/>
    <mergeCell ref="G4:H4"/>
    <mergeCell ref="A4:A5"/>
    <mergeCell ref="B4:B5"/>
    <mergeCell ref="C4:E4"/>
  </mergeCells>
  <printOptions/>
  <pageMargins left="0.7" right="0.3" top="0.6" bottom="0.6" header="0.551181102362205" footer="0.3149606299212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H23"/>
  <sheetViews>
    <sheetView zoomScalePageLayoutView="0" workbookViewId="0" topLeftCell="A1">
      <pane ySplit="5" topLeftCell="BM18" activePane="bottomLeft" state="frozen"/>
      <selection pane="topLeft" activeCell="C8" sqref="C8:C11"/>
      <selection pane="bottomLeft" activeCell="C6" sqref="C6:G22"/>
    </sheetView>
  </sheetViews>
  <sheetFormatPr defaultColWidth="9.00390625" defaultRowHeight="24" customHeight="1"/>
  <cols>
    <col min="1" max="1" width="2.50390625" style="8" customWidth="1"/>
    <col min="2" max="2" width="32.75390625" style="8" customWidth="1"/>
    <col min="3" max="7" width="9.875" style="8" customWidth="1"/>
    <col min="8" max="16384" width="9.00390625" style="8" customWidth="1"/>
  </cols>
  <sheetData>
    <row r="2" ht="24" customHeight="1">
      <c r="B2" s="3" t="s">
        <v>330</v>
      </c>
    </row>
    <row r="4" spans="2:7" s="1" customFormat="1" ht="28.5" customHeight="1">
      <c r="B4" s="363" t="s">
        <v>46</v>
      </c>
      <c r="C4" s="373" t="s">
        <v>324</v>
      </c>
      <c r="D4" s="366"/>
      <c r="E4" s="366"/>
      <c r="F4" s="366"/>
      <c r="G4" s="363" t="s">
        <v>171</v>
      </c>
    </row>
    <row r="5" spans="2:7" s="39" customFormat="1" ht="48.75" customHeight="1">
      <c r="B5" s="364"/>
      <c r="C5" s="27" t="s">
        <v>47</v>
      </c>
      <c r="D5" s="27" t="s">
        <v>48</v>
      </c>
      <c r="E5" s="27" t="s">
        <v>49</v>
      </c>
      <c r="F5" s="208" t="s">
        <v>50</v>
      </c>
      <c r="G5" s="364"/>
    </row>
    <row r="6" spans="2:8" s="1" customFormat="1" ht="26.25" customHeight="1">
      <c r="B6" s="40" t="s">
        <v>51</v>
      </c>
      <c r="C6" s="41" t="s">
        <v>333</v>
      </c>
      <c r="D6" s="41" t="s">
        <v>334</v>
      </c>
      <c r="E6" s="41" t="s">
        <v>334</v>
      </c>
      <c r="F6" s="41" t="s">
        <v>335</v>
      </c>
      <c r="G6" s="41" t="s">
        <v>336</v>
      </c>
      <c r="H6" s="45"/>
    </row>
    <row r="7" spans="2:8" s="1" customFormat="1" ht="26.25" customHeight="1">
      <c r="B7" s="28" t="s">
        <v>85</v>
      </c>
      <c r="C7" s="42" t="s">
        <v>337</v>
      </c>
      <c r="D7" s="42" t="s">
        <v>338</v>
      </c>
      <c r="E7" s="42" t="s">
        <v>338</v>
      </c>
      <c r="F7" s="42" t="s">
        <v>339</v>
      </c>
      <c r="G7" s="42" t="s">
        <v>340</v>
      </c>
      <c r="H7" s="127"/>
    </row>
    <row r="8" spans="2:8" s="1" customFormat="1" ht="26.25" customHeight="1">
      <c r="B8" s="43" t="s">
        <v>52</v>
      </c>
      <c r="C8" s="44" t="s">
        <v>341</v>
      </c>
      <c r="D8" s="44" t="s">
        <v>342</v>
      </c>
      <c r="E8" s="44" t="s">
        <v>342</v>
      </c>
      <c r="F8" s="44" t="s">
        <v>343</v>
      </c>
      <c r="G8" s="44" t="s">
        <v>344</v>
      </c>
      <c r="H8" s="127" t="s">
        <v>95</v>
      </c>
    </row>
    <row r="9" spans="2:8" s="1" customFormat="1" ht="26.25" customHeight="1">
      <c r="B9" s="43" t="s">
        <v>53</v>
      </c>
      <c r="C9" s="44" t="s">
        <v>345</v>
      </c>
      <c r="D9" s="44" t="s">
        <v>346</v>
      </c>
      <c r="E9" s="44" t="s">
        <v>346</v>
      </c>
      <c r="F9" s="44" t="s">
        <v>343</v>
      </c>
      <c r="G9" s="44" t="s">
        <v>347</v>
      </c>
      <c r="H9" s="127"/>
    </row>
    <row r="10" spans="2:8" s="1" customFormat="1" ht="26.25" customHeight="1">
      <c r="B10" s="43" t="s">
        <v>79</v>
      </c>
      <c r="C10" s="44" t="s">
        <v>348</v>
      </c>
      <c r="D10" s="44" t="s">
        <v>349</v>
      </c>
      <c r="E10" s="44" t="s">
        <v>349</v>
      </c>
      <c r="F10" s="44" t="s">
        <v>350</v>
      </c>
      <c r="G10" s="44" t="s">
        <v>351</v>
      </c>
      <c r="H10" s="127"/>
    </row>
    <row r="11" spans="2:8" s="1" customFormat="1" ht="26.25" customHeight="1">
      <c r="B11" s="28" t="s">
        <v>54</v>
      </c>
      <c r="C11" s="42" t="s">
        <v>352</v>
      </c>
      <c r="D11" s="42" t="s">
        <v>353</v>
      </c>
      <c r="E11" s="42" t="s">
        <v>353</v>
      </c>
      <c r="F11" s="42" t="s">
        <v>354</v>
      </c>
      <c r="G11" s="42" t="s">
        <v>355</v>
      </c>
      <c r="H11" s="127"/>
    </row>
    <row r="12" spans="2:8" s="1" customFormat="1" ht="26.25" customHeight="1">
      <c r="B12" s="28" t="s">
        <v>55</v>
      </c>
      <c r="C12" s="42" t="s">
        <v>356</v>
      </c>
      <c r="D12" s="42" t="s">
        <v>357</v>
      </c>
      <c r="E12" s="42" t="s">
        <v>357</v>
      </c>
      <c r="F12" s="42" t="s">
        <v>358</v>
      </c>
      <c r="G12" s="42" t="s">
        <v>359</v>
      </c>
      <c r="H12" s="127"/>
    </row>
    <row r="13" spans="2:8" s="1" customFormat="1" ht="26.25" customHeight="1">
      <c r="B13" s="28" t="s">
        <v>56</v>
      </c>
      <c r="C13" s="42" t="s">
        <v>360</v>
      </c>
      <c r="D13" s="42" t="s">
        <v>361</v>
      </c>
      <c r="E13" s="42" t="s">
        <v>361</v>
      </c>
      <c r="F13" s="42" t="s">
        <v>362</v>
      </c>
      <c r="G13" s="42" t="s">
        <v>363</v>
      </c>
      <c r="H13" s="127"/>
    </row>
    <row r="14" spans="2:8" s="1" customFormat="1" ht="26.25" customHeight="1">
      <c r="B14" s="28" t="s">
        <v>57</v>
      </c>
      <c r="C14" s="42" t="s">
        <v>364</v>
      </c>
      <c r="D14" s="42" t="s">
        <v>365</v>
      </c>
      <c r="E14" s="42" t="s">
        <v>365</v>
      </c>
      <c r="F14" s="42" t="s">
        <v>366</v>
      </c>
      <c r="G14" s="42" t="s">
        <v>367</v>
      </c>
      <c r="H14" s="127"/>
    </row>
    <row r="15" spans="2:8" s="1" customFormat="1" ht="26.25" customHeight="1">
      <c r="B15" s="28" t="s">
        <v>58</v>
      </c>
      <c r="C15" s="42" t="s">
        <v>368</v>
      </c>
      <c r="D15" s="42" t="s">
        <v>369</v>
      </c>
      <c r="E15" s="42" t="s">
        <v>369</v>
      </c>
      <c r="F15" s="42" t="s">
        <v>370</v>
      </c>
      <c r="G15" s="42" t="s">
        <v>371</v>
      </c>
      <c r="H15" s="45"/>
    </row>
    <row r="16" spans="2:8" s="1" customFormat="1" ht="26.25" customHeight="1">
      <c r="B16" s="28" t="s">
        <v>59</v>
      </c>
      <c r="C16" s="42" t="s">
        <v>372</v>
      </c>
      <c r="D16" s="42" t="s">
        <v>373</v>
      </c>
      <c r="E16" s="42" t="s">
        <v>373</v>
      </c>
      <c r="F16" s="42" t="s">
        <v>374</v>
      </c>
      <c r="G16" s="42" t="s">
        <v>375</v>
      </c>
      <c r="H16" s="45"/>
    </row>
    <row r="17" spans="2:8" s="1" customFormat="1" ht="26.25" customHeight="1">
      <c r="B17" s="28" t="s">
        <v>60</v>
      </c>
      <c r="C17" s="42" t="s">
        <v>376</v>
      </c>
      <c r="D17" s="42" t="s">
        <v>377</v>
      </c>
      <c r="E17" s="42" t="s">
        <v>377</v>
      </c>
      <c r="F17" s="42" t="s">
        <v>378</v>
      </c>
      <c r="G17" s="42" t="s">
        <v>354</v>
      </c>
      <c r="H17" s="45"/>
    </row>
    <row r="18" spans="2:8" s="1" customFormat="1" ht="26.25" customHeight="1">
      <c r="B18" s="28" t="s">
        <v>61</v>
      </c>
      <c r="C18" s="42" t="s">
        <v>379</v>
      </c>
      <c r="D18" s="42" t="s">
        <v>380</v>
      </c>
      <c r="E18" s="42" t="s">
        <v>380</v>
      </c>
      <c r="F18" s="42" t="s">
        <v>378</v>
      </c>
      <c r="G18" s="42" t="s">
        <v>381</v>
      </c>
      <c r="H18" s="45"/>
    </row>
    <row r="19" spans="2:8" s="1" customFormat="1" ht="26.25" customHeight="1">
      <c r="B19" s="28" t="s">
        <v>62</v>
      </c>
      <c r="C19" s="42" t="s">
        <v>382</v>
      </c>
      <c r="D19" s="42" t="s">
        <v>383</v>
      </c>
      <c r="E19" s="42" t="s">
        <v>383</v>
      </c>
      <c r="F19" s="42" t="s">
        <v>384</v>
      </c>
      <c r="G19" s="42" t="s">
        <v>385</v>
      </c>
      <c r="H19" s="45"/>
    </row>
    <row r="20" spans="2:8" s="1" customFormat="1" ht="26.25" customHeight="1">
      <c r="B20" s="46" t="s">
        <v>63</v>
      </c>
      <c r="C20" s="23" t="s">
        <v>386</v>
      </c>
      <c r="D20" s="23" t="s">
        <v>387</v>
      </c>
      <c r="E20" s="23" t="s">
        <v>387</v>
      </c>
      <c r="F20" s="23" t="s">
        <v>378</v>
      </c>
      <c r="G20" s="23" t="s">
        <v>388</v>
      </c>
      <c r="H20" s="45"/>
    </row>
    <row r="21" spans="2:8" s="1" customFormat="1" ht="26.25" customHeight="1">
      <c r="B21" s="40" t="s">
        <v>64</v>
      </c>
      <c r="C21" s="41" t="s">
        <v>389</v>
      </c>
      <c r="D21" s="41" t="s">
        <v>390</v>
      </c>
      <c r="E21" s="41" t="s">
        <v>390</v>
      </c>
      <c r="F21" s="41" t="s">
        <v>391</v>
      </c>
      <c r="G21" s="41" t="s">
        <v>392</v>
      </c>
      <c r="H21" s="45"/>
    </row>
    <row r="22" spans="2:8" s="1" customFormat="1" ht="26.25" customHeight="1">
      <c r="B22" s="47" t="s">
        <v>65</v>
      </c>
      <c r="C22" s="48" t="s">
        <v>393</v>
      </c>
      <c r="D22" s="48" t="s">
        <v>394</v>
      </c>
      <c r="E22" s="48" t="s">
        <v>394</v>
      </c>
      <c r="F22" s="48" t="s">
        <v>366</v>
      </c>
      <c r="G22" s="48" t="s">
        <v>395</v>
      </c>
      <c r="H22" s="45"/>
    </row>
    <row r="23" spans="2:6" ht="24" customHeight="1">
      <c r="B23" s="7"/>
      <c r="C23" s="7"/>
      <c r="D23" s="37"/>
      <c r="E23" s="37"/>
      <c r="F23" s="38"/>
    </row>
  </sheetData>
  <sheetProtection/>
  <mergeCells count="3">
    <mergeCell ref="B4:B5"/>
    <mergeCell ref="G4:G5"/>
    <mergeCell ref="C4:F4"/>
  </mergeCells>
  <printOptions/>
  <pageMargins left="0.7" right="0.3" top="0.6" bottom="0.6" header="0.57" footer="0.31496062992126"/>
  <pageSetup horizontalDpi="600" verticalDpi="600" orientation="portrait" paperSize="9" r:id="rId1"/>
  <ignoredErrors>
    <ignoredError sqref="C6:G2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O40"/>
  <sheetViews>
    <sheetView zoomScalePageLayoutView="0" workbookViewId="0" topLeftCell="A2">
      <pane xSplit="1" ySplit="4" topLeftCell="B2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3" sqref="A13:IV13"/>
    </sheetView>
  </sheetViews>
  <sheetFormatPr defaultColWidth="9.00390625" defaultRowHeight="24" customHeight="1"/>
  <cols>
    <col min="1" max="1" width="21.625" style="8" customWidth="1"/>
    <col min="2" max="2" width="8.125" style="8" customWidth="1"/>
    <col min="3" max="4" width="8.875" style="8" customWidth="1"/>
    <col min="5" max="5" width="10.00390625" style="8" customWidth="1"/>
    <col min="6" max="6" width="9.875" style="8" customWidth="1"/>
    <col min="7" max="8" width="8.375" style="8" customWidth="1"/>
    <col min="9" max="9" width="10.875" style="8" customWidth="1"/>
    <col min="10" max="10" width="9.625" style="8" customWidth="1"/>
    <col min="11" max="11" width="12.125" style="8" bestFit="1" customWidth="1"/>
    <col min="12" max="16384" width="9.00390625" style="8" customWidth="1"/>
  </cols>
  <sheetData>
    <row r="2" spans="1:8" ht="24" customHeight="1">
      <c r="A2" s="3" t="s">
        <v>331</v>
      </c>
      <c r="B2" s="151"/>
      <c r="C2" s="151"/>
      <c r="D2" s="151"/>
      <c r="E2" s="151"/>
      <c r="G2" s="151"/>
      <c r="H2" s="151"/>
    </row>
    <row r="3" spans="1:8" ht="24" customHeight="1">
      <c r="A3" s="9"/>
      <c r="B3" s="9"/>
      <c r="C3" s="9"/>
      <c r="D3" s="9"/>
      <c r="E3" s="9"/>
      <c r="G3" s="9"/>
      <c r="H3" s="9"/>
    </row>
    <row r="4" spans="1:8" ht="34.5" customHeight="1">
      <c r="A4" s="370" t="s">
        <v>0</v>
      </c>
      <c r="B4" s="370" t="s">
        <v>16</v>
      </c>
      <c r="C4" s="372" t="s">
        <v>111</v>
      </c>
      <c r="D4" s="366"/>
      <c r="E4" s="367"/>
      <c r="F4" s="376" t="s">
        <v>284</v>
      </c>
      <c r="G4" s="365" t="s">
        <v>17</v>
      </c>
      <c r="H4" s="377"/>
    </row>
    <row r="5" spans="1:8" ht="49.5" customHeight="1">
      <c r="A5" s="371"/>
      <c r="B5" s="371"/>
      <c r="C5" s="121" t="s">
        <v>281</v>
      </c>
      <c r="D5" s="26" t="s">
        <v>282</v>
      </c>
      <c r="E5" s="26" t="s">
        <v>283</v>
      </c>
      <c r="F5" s="361"/>
      <c r="G5" s="26" t="s">
        <v>86</v>
      </c>
      <c r="H5" s="27" t="s">
        <v>172</v>
      </c>
    </row>
    <row r="6" spans="1:8" s="191" customFormat="1" ht="30" customHeight="1">
      <c r="A6" s="183" t="s">
        <v>147</v>
      </c>
      <c r="B6" s="184" t="s">
        <v>151</v>
      </c>
      <c r="C6" s="188">
        <v>221761.9</v>
      </c>
      <c r="D6" s="188">
        <v>226942.83</v>
      </c>
      <c r="E6" s="188">
        <v>2380932.48</v>
      </c>
      <c r="F6" s="188">
        <v>2056521.3</v>
      </c>
      <c r="G6" s="190">
        <f>D6/C6*100</f>
        <v>102.33625794151295</v>
      </c>
      <c r="H6" s="189">
        <f>E6/F6*100</f>
        <v>115.77475419291791</v>
      </c>
    </row>
    <row r="7" spans="1:8" s="20" customFormat="1" ht="21.75" customHeight="1">
      <c r="A7" s="187" t="s">
        <v>110</v>
      </c>
      <c r="B7" s="180"/>
      <c r="C7" s="181"/>
      <c r="D7" s="181"/>
      <c r="E7" s="181"/>
      <c r="F7" s="181"/>
      <c r="G7" s="182"/>
      <c r="H7" s="5"/>
    </row>
    <row r="8" spans="1:10" ht="21.75" customHeight="1">
      <c r="A8" s="192" t="s">
        <v>152</v>
      </c>
      <c r="B8" s="193" t="s">
        <v>151</v>
      </c>
      <c r="C8" s="15">
        <v>31538</v>
      </c>
      <c r="D8" s="15">
        <v>32327.48</v>
      </c>
      <c r="E8" s="15">
        <v>427053.98</v>
      </c>
      <c r="F8" s="15">
        <v>349981.6</v>
      </c>
      <c r="G8" s="42">
        <f>D8/C8*100</f>
        <v>102.50326590145222</v>
      </c>
      <c r="H8" s="5">
        <f>E8/F8*100</f>
        <v>122.02183771946868</v>
      </c>
      <c r="I8" s="52"/>
      <c r="J8" s="52"/>
    </row>
    <row r="9" spans="1:8" ht="21.75" customHeight="1">
      <c r="A9" s="192" t="s">
        <v>153</v>
      </c>
      <c r="B9" s="193" t="s">
        <v>151</v>
      </c>
      <c r="C9" s="15">
        <v>153814</v>
      </c>
      <c r="D9" s="15">
        <v>157839</v>
      </c>
      <c r="E9" s="15">
        <v>1804820</v>
      </c>
      <c r="F9" s="15">
        <v>1558127.6</v>
      </c>
      <c r="G9" s="42">
        <f>D9/C9*100</f>
        <v>102.6167969105543</v>
      </c>
      <c r="H9" s="5">
        <f>E9/F9*100</f>
        <v>115.83261858656503</v>
      </c>
    </row>
    <row r="10" spans="1:8" s="24" customFormat="1" ht="30" customHeight="1">
      <c r="A10" s="185" t="s">
        <v>148</v>
      </c>
      <c r="B10" s="186"/>
      <c r="C10" s="15"/>
      <c r="D10" s="15"/>
      <c r="E10" s="15"/>
      <c r="F10" s="145"/>
      <c r="G10" s="144"/>
      <c r="H10" s="144"/>
    </row>
    <row r="11" spans="1:8" ht="21.75" customHeight="1">
      <c r="A11" s="49" t="s">
        <v>149</v>
      </c>
      <c r="B11" s="50"/>
      <c r="C11" s="12"/>
      <c r="D11" s="12"/>
      <c r="E11" s="12"/>
      <c r="F11" s="17"/>
      <c r="G11" s="18"/>
      <c r="H11" s="18"/>
    </row>
    <row r="12" spans="1:10" ht="21.75" customHeight="1">
      <c r="A12" s="25" t="s">
        <v>77</v>
      </c>
      <c r="B12" s="51"/>
      <c r="C12" s="15"/>
      <c r="D12" s="15"/>
      <c r="E12" s="15"/>
      <c r="F12" s="5"/>
      <c r="G12" s="5"/>
      <c r="H12" s="5"/>
      <c r="I12" s="52"/>
      <c r="J12" s="52"/>
    </row>
    <row r="13" spans="1:15" ht="21.75" customHeight="1">
      <c r="A13" s="53" t="s">
        <v>69</v>
      </c>
      <c r="B13" s="54" t="s">
        <v>66</v>
      </c>
      <c r="C13" s="4">
        <v>484.56</v>
      </c>
      <c r="D13" s="4">
        <v>495.4</v>
      </c>
      <c r="E13" s="4">
        <v>5553.84</v>
      </c>
      <c r="F13" s="4">
        <v>5216.7</v>
      </c>
      <c r="G13" s="5">
        <f>D13/C13*100</f>
        <v>102.23708106323261</v>
      </c>
      <c r="H13" s="5">
        <f>E13/F13*100</f>
        <v>106.4627063085859</v>
      </c>
      <c r="I13" s="64"/>
      <c r="J13" s="19"/>
      <c r="K13" s="19"/>
      <c r="L13" s="19"/>
      <c r="M13" s="19"/>
      <c r="N13" s="19"/>
      <c r="O13" s="52"/>
    </row>
    <row r="14" spans="1:15" ht="21.75" customHeight="1">
      <c r="A14" s="53" t="s">
        <v>71</v>
      </c>
      <c r="B14" s="54" t="s">
        <v>83</v>
      </c>
      <c r="C14" s="4">
        <v>54623.5</v>
      </c>
      <c r="D14" s="4">
        <v>55506.9</v>
      </c>
      <c r="E14" s="4">
        <v>644169.43</v>
      </c>
      <c r="F14" s="4">
        <v>541150.3</v>
      </c>
      <c r="G14" s="5">
        <f>D14/C14*100</f>
        <v>101.61725264766997</v>
      </c>
      <c r="H14" s="5">
        <f>E14/F14*100</f>
        <v>119.03706419455003</v>
      </c>
      <c r="I14" s="64"/>
      <c r="J14" s="19"/>
      <c r="K14" s="19"/>
      <c r="L14" s="19"/>
      <c r="M14" s="19"/>
      <c r="N14" s="19"/>
      <c r="O14" s="52"/>
    </row>
    <row r="15" spans="1:15" ht="21.75" customHeight="1">
      <c r="A15" s="55" t="s">
        <v>150</v>
      </c>
      <c r="B15" s="50"/>
      <c r="C15" s="4"/>
      <c r="D15" s="4"/>
      <c r="E15" s="4"/>
      <c r="F15" s="4"/>
      <c r="G15" s="5"/>
      <c r="H15" s="5"/>
      <c r="I15" s="52"/>
      <c r="J15" s="19"/>
      <c r="K15" s="19"/>
      <c r="L15" s="19"/>
      <c r="M15" s="19"/>
      <c r="N15" s="19"/>
      <c r="O15" s="52"/>
    </row>
    <row r="16" spans="1:15" ht="21.75" customHeight="1">
      <c r="A16" s="53" t="s">
        <v>69</v>
      </c>
      <c r="B16" s="54" t="s">
        <v>70</v>
      </c>
      <c r="C16" s="4">
        <f aca="true" t="shared" si="0" ref="C16:E17">C20+C23</f>
        <v>2753.45</v>
      </c>
      <c r="D16" s="4">
        <f t="shared" si="0"/>
        <v>2806.4</v>
      </c>
      <c r="E16" s="4">
        <f t="shared" si="0"/>
        <v>30995.989999999998</v>
      </c>
      <c r="F16" s="4">
        <f>F20+F23</f>
        <v>28890.899999999998</v>
      </c>
      <c r="G16" s="5">
        <f>D16/C16*100</f>
        <v>101.92304200185222</v>
      </c>
      <c r="H16" s="5">
        <f>E16/F16*100</f>
        <v>107.28634275844644</v>
      </c>
      <c r="I16" s="64"/>
      <c r="J16" s="19"/>
      <c r="K16" s="19"/>
      <c r="L16" s="19"/>
      <c r="M16" s="19"/>
      <c r="N16" s="19"/>
      <c r="O16" s="52"/>
    </row>
    <row r="17" spans="1:15" ht="21.75" customHeight="1">
      <c r="A17" s="53" t="s">
        <v>73</v>
      </c>
      <c r="B17" s="54" t="s">
        <v>84</v>
      </c>
      <c r="C17" s="4">
        <f t="shared" si="0"/>
        <v>141580.19</v>
      </c>
      <c r="D17" s="4">
        <f t="shared" si="0"/>
        <v>145195.99000000002</v>
      </c>
      <c r="E17" s="4">
        <f t="shared" si="0"/>
        <v>1611013.57</v>
      </c>
      <c r="F17" s="4">
        <f>F21+F24</f>
        <v>1412448.3</v>
      </c>
      <c r="G17" s="5">
        <f>D17/C17*100</f>
        <v>102.5538883653144</v>
      </c>
      <c r="H17" s="5">
        <f>E17/F17*100</f>
        <v>114.0582327862903</v>
      </c>
      <c r="I17" s="64"/>
      <c r="J17" s="19"/>
      <c r="K17" s="19"/>
      <c r="L17" s="19"/>
      <c r="M17" s="19"/>
      <c r="N17" s="19"/>
      <c r="O17" s="52"/>
    </row>
    <row r="18" spans="1:15" ht="21.75" customHeight="1">
      <c r="A18" s="56" t="s">
        <v>67</v>
      </c>
      <c r="B18" s="51"/>
      <c r="C18" s="4"/>
      <c r="D18" s="4"/>
      <c r="E18" s="4"/>
      <c r="F18" s="4"/>
      <c r="G18" s="5"/>
      <c r="H18" s="5"/>
      <c r="I18" s="64"/>
      <c r="J18" s="19"/>
      <c r="K18" s="19"/>
      <c r="L18" s="19"/>
      <c r="M18" s="19"/>
      <c r="N18" s="19"/>
      <c r="O18" s="52"/>
    </row>
    <row r="19" spans="1:15" ht="21.75" customHeight="1">
      <c r="A19" s="25" t="s">
        <v>68</v>
      </c>
      <c r="C19" s="4"/>
      <c r="D19" s="4"/>
      <c r="E19" s="4"/>
      <c r="F19" s="4"/>
      <c r="G19" s="5"/>
      <c r="H19" s="5"/>
      <c r="I19" s="64"/>
      <c r="J19" s="19"/>
      <c r="K19" s="19"/>
      <c r="L19" s="19"/>
      <c r="M19" s="19"/>
      <c r="N19" s="19"/>
      <c r="O19" s="52"/>
    </row>
    <row r="20" spans="1:15" ht="21.75" customHeight="1">
      <c r="A20" s="53" t="s">
        <v>69</v>
      </c>
      <c r="B20" s="54" t="s">
        <v>70</v>
      </c>
      <c r="C20" s="4">
        <f>35.7+78.59</f>
        <v>114.29</v>
      </c>
      <c r="D20" s="4">
        <f>36.7+82.8</f>
        <v>119.5</v>
      </c>
      <c r="E20" s="4">
        <f>434.42+893.66</f>
        <v>1328.08</v>
      </c>
      <c r="F20" s="4">
        <f>537+921</f>
        <v>1458</v>
      </c>
      <c r="G20" s="5">
        <f>D20/C20*100</f>
        <v>104.5585790532855</v>
      </c>
      <c r="H20" s="5">
        <f>E20/F20*100</f>
        <v>91.08916323731138</v>
      </c>
      <c r="I20" s="64"/>
      <c r="J20" s="19"/>
      <c r="K20" s="19"/>
      <c r="L20" s="19"/>
      <c r="M20" s="19"/>
      <c r="N20" s="19"/>
      <c r="O20" s="52"/>
    </row>
    <row r="21" spans="1:15" ht="21.75" customHeight="1">
      <c r="A21" s="53" t="s">
        <v>71</v>
      </c>
      <c r="B21" s="54" t="s">
        <v>84</v>
      </c>
      <c r="C21" s="4">
        <f>9139.2+1625</f>
        <v>10764.2</v>
      </c>
      <c r="D21" s="4">
        <f>1863.35+9600</f>
        <v>11463.35</v>
      </c>
      <c r="E21" s="4">
        <f>108104.76+19004.57</f>
        <v>127109.32999999999</v>
      </c>
      <c r="F21" s="4">
        <f>97115.3+12078</f>
        <v>109193.3</v>
      </c>
      <c r="G21" s="5">
        <f>D21/C21*100</f>
        <v>106.49514130172237</v>
      </c>
      <c r="H21" s="5">
        <f>E21/F21*100</f>
        <v>116.40762757421928</v>
      </c>
      <c r="I21" s="64"/>
      <c r="J21" s="19"/>
      <c r="K21" s="19"/>
      <c r="L21" s="19"/>
      <c r="M21" s="19"/>
      <c r="N21" s="19"/>
      <c r="O21" s="52"/>
    </row>
    <row r="22" spans="1:15" ht="21.75" customHeight="1">
      <c r="A22" s="25" t="s">
        <v>72</v>
      </c>
      <c r="B22" s="54"/>
      <c r="C22" s="4"/>
      <c r="D22" s="4"/>
      <c r="E22" s="4"/>
      <c r="F22" s="4"/>
      <c r="G22" s="5"/>
      <c r="H22" s="5"/>
      <c r="I22" s="64"/>
      <c r="J22" s="19"/>
      <c r="K22" s="19"/>
      <c r="L22" s="19"/>
      <c r="M22" s="19"/>
      <c r="N22" s="19"/>
      <c r="O22" s="52"/>
    </row>
    <row r="23" spans="1:15" ht="21.75" customHeight="1">
      <c r="A23" s="53" t="s">
        <v>69</v>
      </c>
      <c r="B23" s="54" t="s">
        <v>70</v>
      </c>
      <c r="C23" s="4">
        <f>893+790.16+694+262</f>
        <v>2639.16</v>
      </c>
      <c r="D23" s="4">
        <f>899.9+797+723+267</f>
        <v>2686.9</v>
      </c>
      <c r="E23" s="4">
        <f>11565.52+8750.38+6737.99+2614.02</f>
        <v>29667.91</v>
      </c>
      <c r="F23" s="4">
        <f>11519.8+7941+5803.9+2168.2</f>
        <v>27432.899999999998</v>
      </c>
      <c r="G23" s="5">
        <f>D23/C23*100</f>
        <v>101.80890889525456</v>
      </c>
      <c r="H23" s="5">
        <f>E23/F23*100</f>
        <v>108.14718823019076</v>
      </c>
      <c r="I23" s="64"/>
      <c r="J23" s="19"/>
      <c r="K23" s="19"/>
      <c r="L23" s="19"/>
      <c r="M23" s="19"/>
      <c r="N23" s="19"/>
      <c r="O23" s="52"/>
    </row>
    <row r="24" spans="1:15" ht="21.75" customHeight="1">
      <c r="A24" s="53" t="s">
        <v>73</v>
      </c>
      <c r="B24" s="54" t="s">
        <v>84</v>
      </c>
      <c r="C24" s="4">
        <f>19992.5+17372.89+20891.71+72558.89</f>
        <v>130815.98999999999</v>
      </c>
      <c r="D24" s="4">
        <f>20107.9+17945.5+21736.49+73942.75</f>
        <v>133732.64</v>
      </c>
      <c r="E24" s="4">
        <f>210609.63+222467.9+229614.93+821211.78</f>
        <v>1483904.24</v>
      </c>
      <c r="F24" s="4">
        <f>191552.1+198732.5+225712.2+687258.2</f>
        <v>1303255</v>
      </c>
      <c r="G24" s="5">
        <f>D24/C24*100</f>
        <v>102.22958217875356</v>
      </c>
      <c r="H24" s="5">
        <f>E24/F24*100</f>
        <v>113.86138860008211</v>
      </c>
      <c r="I24" s="64"/>
      <c r="J24" s="19"/>
      <c r="K24" s="19"/>
      <c r="L24" s="19"/>
      <c r="M24" s="19"/>
      <c r="N24" s="19"/>
      <c r="O24" s="52"/>
    </row>
    <row r="25" spans="1:15" ht="21.75" customHeight="1">
      <c r="A25" s="56" t="s">
        <v>74</v>
      </c>
      <c r="B25" s="54"/>
      <c r="C25" s="4"/>
      <c r="D25" s="4"/>
      <c r="E25" s="4"/>
      <c r="F25" s="4"/>
      <c r="G25" s="5"/>
      <c r="H25" s="5"/>
      <c r="I25" s="64"/>
      <c r="J25" s="19"/>
      <c r="K25" s="19"/>
      <c r="L25" s="19"/>
      <c r="M25" s="19"/>
      <c r="N25" s="19"/>
      <c r="O25" s="52"/>
    </row>
    <row r="26" spans="1:15" ht="21.75" customHeight="1">
      <c r="A26" s="25" t="s">
        <v>75</v>
      </c>
      <c r="B26" s="54"/>
      <c r="C26" s="4"/>
      <c r="D26" s="4"/>
      <c r="E26" s="4"/>
      <c r="F26" s="4"/>
      <c r="G26" s="5"/>
      <c r="H26" s="5"/>
      <c r="I26" s="64"/>
      <c r="J26" s="19"/>
      <c r="K26" s="19"/>
      <c r="L26" s="19"/>
      <c r="M26" s="19"/>
      <c r="N26" s="19"/>
      <c r="O26" s="52"/>
    </row>
    <row r="27" spans="1:15" ht="21.75" customHeight="1">
      <c r="A27" s="53" t="s">
        <v>69</v>
      </c>
      <c r="B27" s="54" t="s">
        <v>70</v>
      </c>
      <c r="C27" s="4">
        <v>1718.86</v>
      </c>
      <c r="D27" s="4">
        <v>1733.6</v>
      </c>
      <c r="E27" s="4">
        <v>20750.33</v>
      </c>
      <c r="F27" s="4">
        <v>19997.8</v>
      </c>
      <c r="G27" s="5">
        <f>D27/C27*100</f>
        <v>100.85754511711251</v>
      </c>
      <c r="H27" s="5">
        <f>E27/F27*100</f>
        <v>103.7630639370331</v>
      </c>
      <c r="I27" s="64"/>
      <c r="J27" s="19"/>
      <c r="K27" s="19"/>
      <c r="L27" s="19"/>
      <c r="M27" s="19"/>
      <c r="N27" s="19"/>
      <c r="O27" s="52"/>
    </row>
    <row r="28" spans="1:15" ht="21.75" customHeight="1">
      <c r="A28" s="53" t="s">
        <v>73</v>
      </c>
      <c r="B28" s="54" t="s">
        <v>84</v>
      </c>
      <c r="C28" s="4">
        <v>38990.39</v>
      </c>
      <c r="D28" s="4">
        <v>39916.77</v>
      </c>
      <c r="E28" s="4">
        <v>452082.1</v>
      </c>
      <c r="F28" s="4">
        <v>402362.6</v>
      </c>
      <c r="G28" s="5">
        <f>D28/C28*100</f>
        <v>102.37591878409012</v>
      </c>
      <c r="H28" s="5">
        <f>E28/F28*100</f>
        <v>112.35688903491527</v>
      </c>
      <c r="I28" s="64"/>
      <c r="J28" s="19"/>
      <c r="K28" s="19"/>
      <c r="L28" s="19"/>
      <c r="M28" s="19"/>
      <c r="N28" s="19"/>
      <c r="O28" s="52"/>
    </row>
    <row r="29" spans="1:15" ht="21.75" customHeight="1">
      <c r="A29" s="25" t="s">
        <v>76</v>
      </c>
      <c r="B29" s="54"/>
      <c r="C29" s="4"/>
      <c r="D29" s="4"/>
      <c r="E29" s="4"/>
      <c r="F29" s="4"/>
      <c r="G29" s="5"/>
      <c r="H29" s="5"/>
      <c r="I29" s="64"/>
      <c r="J29" s="19"/>
      <c r="K29" s="19"/>
      <c r="L29" s="19"/>
      <c r="M29" s="19"/>
      <c r="N29" s="19"/>
      <c r="O29" s="52"/>
    </row>
    <row r="30" spans="1:15" ht="21.75" customHeight="1">
      <c r="A30" s="53" t="s">
        <v>69</v>
      </c>
      <c r="B30" s="54" t="s">
        <v>70</v>
      </c>
      <c r="C30" s="4">
        <v>1034.59</v>
      </c>
      <c r="D30" s="4">
        <v>1072.8</v>
      </c>
      <c r="E30" s="4">
        <v>10245.67</v>
      </c>
      <c r="F30" s="4">
        <v>8893.1</v>
      </c>
      <c r="G30" s="5">
        <f>D30/C30*100</f>
        <v>103.69325046636833</v>
      </c>
      <c r="H30" s="5">
        <f>E30/F30*100</f>
        <v>115.2092071381183</v>
      </c>
      <c r="I30" s="64"/>
      <c r="J30" s="19"/>
      <c r="K30" s="19"/>
      <c r="L30" s="19"/>
      <c r="M30" s="19"/>
      <c r="N30" s="19"/>
      <c r="O30" s="52"/>
    </row>
    <row r="31" spans="1:15" ht="21.75" customHeight="1">
      <c r="A31" s="53" t="s">
        <v>73</v>
      </c>
      <c r="B31" s="54" t="s">
        <v>84</v>
      </c>
      <c r="C31" s="4">
        <v>102589.8</v>
      </c>
      <c r="D31" s="4">
        <v>105279.4</v>
      </c>
      <c r="E31" s="4">
        <v>1158931.48</v>
      </c>
      <c r="F31" s="4">
        <v>1010085.7</v>
      </c>
      <c r="G31" s="5">
        <f>D31/C31*100</f>
        <v>102.6217031322802</v>
      </c>
      <c r="H31" s="5">
        <f>E31/F31*100</f>
        <v>114.73595557287861</v>
      </c>
      <c r="I31" s="64"/>
      <c r="J31" s="19"/>
      <c r="K31" s="19"/>
      <c r="L31" s="19"/>
      <c r="M31" s="19"/>
      <c r="N31" s="19"/>
      <c r="O31" s="52"/>
    </row>
    <row r="32" spans="1:12" ht="9" customHeight="1">
      <c r="A32" s="57"/>
      <c r="B32" s="58"/>
      <c r="C32" s="78"/>
      <c r="D32" s="29"/>
      <c r="E32" s="78"/>
      <c r="F32" s="78"/>
      <c r="G32" s="29"/>
      <c r="H32" s="29"/>
      <c r="J32" s="19"/>
      <c r="L32" s="52"/>
    </row>
    <row r="33" spans="1:12" ht="24" customHeight="1">
      <c r="A33" s="59"/>
      <c r="B33" s="59"/>
      <c r="C33" s="60"/>
      <c r="D33" s="60"/>
      <c r="E33" s="61"/>
      <c r="F33" s="61"/>
      <c r="G33" s="62"/>
      <c r="H33" s="63"/>
      <c r="L33" s="52"/>
    </row>
    <row r="34" spans="3:8" ht="24" customHeight="1">
      <c r="C34" s="64"/>
      <c r="D34" s="19"/>
      <c r="E34" s="52"/>
      <c r="F34" s="52"/>
      <c r="G34" s="52"/>
      <c r="H34" s="33"/>
    </row>
    <row r="35" spans="3:8" ht="24" customHeight="1">
      <c r="C35" s="19"/>
      <c r="D35" s="19"/>
      <c r="E35" s="19"/>
      <c r="F35" s="19"/>
      <c r="G35" s="52"/>
      <c r="H35" s="33"/>
    </row>
    <row r="36" spans="3:8" ht="24" customHeight="1">
      <c r="C36" s="64"/>
      <c r="D36" s="64"/>
      <c r="E36" s="64"/>
      <c r="H36" s="7"/>
    </row>
    <row r="37" spans="3:6" ht="24" customHeight="1">
      <c r="C37" s="19"/>
      <c r="D37" s="19"/>
      <c r="E37" s="19"/>
      <c r="F37" s="65"/>
    </row>
    <row r="38" spans="3:6" ht="24" customHeight="1">
      <c r="C38" s="19"/>
      <c r="D38" s="19"/>
      <c r="E38" s="19"/>
      <c r="F38" s="65"/>
    </row>
    <row r="39" ht="24" customHeight="1">
      <c r="F39" s="65"/>
    </row>
    <row r="40" ht="24" customHeight="1">
      <c r="F40" s="65"/>
    </row>
  </sheetData>
  <sheetProtection/>
  <mergeCells count="5">
    <mergeCell ref="G4:H4"/>
    <mergeCell ref="A4:A5"/>
    <mergeCell ref="B4:B5"/>
    <mergeCell ref="F4:F5"/>
    <mergeCell ref="C4:E4"/>
  </mergeCells>
  <printOptions/>
  <pageMargins left="0.7" right="0.3" top="0.7" bottom="0.7" header="0.57" footer="0.3149606299212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I8" sqref="I8"/>
    </sheetView>
  </sheetViews>
  <sheetFormatPr defaultColWidth="9.00390625" defaultRowHeight="24.75" customHeight="1"/>
  <cols>
    <col min="1" max="1" width="23.875" style="8" customWidth="1"/>
    <col min="2" max="7" width="10.375" style="8" customWidth="1"/>
    <col min="8" max="16384" width="9.00390625" style="8" customWidth="1"/>
  </cols>
  <sheetData>
    <row r="1" spans="1:6" ht="24.75" customHeight="1">
      <c r="A1" s="3" t="s">
        <v>332</v>
      </c>
      <c r="B1" s="24"/>
      <c r="C1" s="24"/>
      <c r="D1" s="24"/>
      <c r="E1" s="24"/>
      <c r="F1" s="24"/>
    </row>
    <row r="2" spans="1:6" ht="24.75" customHeight="1">
      <c r="A2" s="3"/>
      <c r="B2" s="7"/>
      <c r="C2" s="7"/>
      <c r="D2" s="7"/>
      <c r="E2" s="7"/>
      <c r="F2" s="7"/>
    </row>
    <row r="3" spans="1:7" s="1" customFormat="1" ht="47.25" customHeight="1">
      <c r="A3" s="377" t="s">
        <v>0</v>
      </c>
      <c r="B3" s="365" t="s">
        <v>325</v>
      </c>
      <c r="C3" s="365"/>
      <c r="D3" s="365" t="s">
        <v>326</v>
      </c>
      <c r="E3" s="365"/>
      <c r="F3" s="365" t="s">
        <v>173</v>
      </c>
      <c r="G3" s="365"/>
    </row>
    <row r="4" spans="1:7" s="1" customFormat="1" ht="59.25" customHeight="1">
      <c r="A4" s="377"/>
      <c r="B4" s="27" t="s">
        <v>174</v>
      </c>
      <c r="C4" s="27" t="s">
        <v>175</v>
      </c>
      <c r="D4" s="27" t="s">
        <v>174</v>
      </c>
      <c r="E4" s="27" t="s">
        <v>175</v>
      </c>
      <c r="F4" s="27" t="s">
        <v>176</v>
      </c>
      <c r="G4" s="27" t="s">
        <v>177</v>
      </c>
    </row>
    <row r="5" spans="1:7" s="1" customFormat="1" ht="26.25" customHeight="1">
      <c r="A5" s="13" t="s">
        <v>178</v>
      </c>
      <c r="B5" s="214">
        <f>SUM(B10:B22)</f>
        <v>2753.45</v>
      </c>
      <c r="C5" s="214">
        <f>SUM(C10:C22)</f>
        <v>141580.19</v>
      </c>
      <c r="D5" s="214">
        <f>SUM(D10:D22)</f>
        <v>2806.399999999999</v>
      </c>
      <c r="E5" s="214">
        <f>SUM(E10:E22)</f>
        <v>145196.00999999998</v>
      </c>
      <c r="F5" s="67">
        <f>D5/B5*100</f>
        <v>101.92304200185221</v>
      </c>
      <c r="G5" s="215">
        <f>E5/C5*100</f>
        <v>102.55390249158442</v>
      </c>
    </row>
    <row r="6" spans="1:11" s="1" customFormat="1" ht="27" customHeight="1">
      <c r="A6" s="216" t="s">
        <v>179</v>
      </c>
      <c r="B6" s="217"/>
      <c r="C6" s="217"/>
      <c r="D6" s="218"/>
      <c r="E6" s="218"/>
      <c r="F6" s="219"/>
      <c r="G6" s="220"/>
      <c r="H6" s="105"/>
      <c r="I6" s="105"/>
      <c r="J6" s="105"/>
      <c r="K6" s="105"/>
    </row>
    <row r="7" spans="1:7" s="94" customFormat="1" ht="26.25" customHeight="1">
      <c r="A7" s="221" t="s">
        <v>19</v>
      </c>
      <c r="B7" s="222">
        <v>114.29</v>
      </c>
      <c r="C7" s="223">
        <v>10764.2</v>
      </c>
      <c r="D7" s="223">
        <v>119.5</v>
      </c>
      <c r="E7" s="223">
        <v>11463.35</v>
      </c>
      <c r="F7" s="224">
        <f>D7/B7*100</f>
        <v>104.5585790532855</v>
      </c>
      <c r="G7" s="225">
        <f>E7/C7*100</f>
        <v>106.49514130172237</v>
      </c>
    </row>
    <row r="8" spans="1:7" s="94" customFormat="1" ht="26.25" customHeight="1">
      <c r="A8" s="221" t="s">
        <v>180</v>
      </c>
      <c r="B8" s="222">
        <v>2639.16</v>
      </c>
      <c r="C8" s="223">
        <v>130815.98999999999</v>
      </c>
      <c r="D8" s="223">
        <v>2686.9</v>
      </c>
      <c r="E8" s="223">
        <v>133732.64</v>
      </c>
      <c r="F8" s="224">
        <f>D8/B8*100</f>
        <v>101.80890889525456</v>
      </c>
      <c r="G8" s="225">
        <f>E8/C8*100</f>
        <v>102.22958217875356</v>
      </c>
    </row>
    <row r="9" spans="1:11" s="1" customFormat="1" ht="27" customHeight="1">
      <c r="A9" s="216" t="s">
        <v>181</v>
      </c>
      <c r="B9" s="226"/>
      <c r="C9" s="226"/>
      <c r="D9" s="226"/>
      <c r="E9" s="226"/>
      <c r="F9" s="6"/>
      <c r="G9" s="5"/>
      <c r="J9" s="105"/>
      <c r="K9" s="105"/>
    </row>
    <row r="10" spans="1:11" s="1" customFormat="1" ht="26.25" customHeight="1">
      <c r="A10" s="14" t="s">
        <v>2</v>
      </c>
      <c r="B10" s="227">
        <v>1247.9075952000003</v>
      </c>
      <c r="C10" s="226">
        <v>55996.80568747</v>
      </c>
      <c r="D10" s="226">
        <v>1277.6585023999999</v>
      </c>
      <c r="E10" s="226">
        <v>57691.60182936</v>
      </c>
      <c r="F10" s="228">
        <f aca="true" t="shared" si="0" ref="F10:G22">D10/B10*100</f>
        <v>102.3840633164214</v>
      </c>
      <c r="G10" s="5">
        <f t="shared" si="0"/>
        <v>103.02659432280659</v>
      </c>
      <c r="J10" s="105"/>
      <c r="K10" s="105"/>
    </row>
    <row r="11" spans="1:11" s="1" customFormat="1" ht="26.25" customHeight="1">
      <c r="A11" s="14" t="s">
        <v>3</v>
      </c>
      <c r="B11" s="227">
        <v>81.84079435</v>
      </c>
      <c r="C11" s="226">
        <v>7266.886412129999</v>
      </c>
      <c r="D11" s="226">
        <v>83.1620512</v>
      </c>
      <c r="E11" s="226">
        <v>7418.644934940001</v>
      </c>
      <c r="F11" s="228">
        <f t="shared" si="0"/>
        <v>101.61442329646692</v>
      </c>
      <c r="G11" s="5">
        <f t="shared" si="0"/>
        <v>102.08835688633695</v>
      </c>
      <c r="J11" s="105"/>
      <c r="K11" s="105"/>
    </row>
    <row r="12" spans="1:11" s="1" customFormat="1" ht="26.25" customHeight="1">
      <c r="A12" s="14" t="s">
        <v>4</v>
      </c>
      <c r="B12" s="226">
        <v>122.95255630000001</v>
      </c>
      <c r="C12" s="227">
        <v>10710.68295369</v>
      </c>
      <c r="D12" s="226">
        <v>124.81183359999999</v>
      </c>
      <c r="E12" s="226">
        <v>10956.636110610001</v>
      </c>
      <c r="F12" s="228">
        <f t="shared" si="0"/>
        <v>101.51219084494949</v>
      </c>
      <c r="G12" s="5">
        <f t="shared" si="0"/>
        <v>102.2963349581295</v>
      </c>
      <c r="J12" s="105"/>
      <c r="K12" s="105"/>
    </row>
    <row r="13" spans="1:11" s="1" customFormat="1" ht="26.25" customHeight="1">
      <c r="A13" s="14" t="s">
        <v>5</v>
      </c>
      <c r="B13" s="227">
        <v>50.0687348</v>
      </c>
      <c r="C13" s="226">
        <v>3852.8217104699997</v>
      </c>
      <c r="D13" s="226">
        <v>50.75093759999999</v>
      </c>
      <c r="E13" s="226">
        <v>3910.56413733</v>
      </c>
      <c r="F13" s="228">
        <f t="shared" si="0"/>
        <v>101.3625325319784</v>
      </c>
      <c r="G13" s="5">
        <f t="shared" si="0"/>
        <v>101.49870487656062</v>
      </c>
      <c r="J13" s="105"/>
      <c r="K13" s="105"/>
    </row>
    <row r="14" spans="1:11" s="1" customFormat="1" ht="26.25" customHeight="1">
      <c r="A14" s="14" t="s">
        <v>6</v>
      </c>
      <c r="B14" s="227">
        <v>171.07460195000002</v>
      </c>
      <c r="C14" s="226">
        <v>9581.156197870001</v>
      </c>
      <c r="D14" s="226">
        <v>173.6347744</v>
      </c>
      <c r="E14" s="226">
        <v>9849.080946330001</v>
      </c>
      <c r="F14" s="228">
        <f t="shared" si="0"/>
        <v>101.49652398475155</v>
      </c>
      <c r="G14" s="5">
        <f t="shared" si="0"/>
        <v>102.79637178360126</v>
      </c>
      <c r="J14" s="105"/>
      <c r="K14" s="105"/>
    </row>
    <row r="15" spans="1:11" s="1" customFormat="1" ht="26.25" customHeight="1">
      <c r="A15" s="14" t="s">
        <v>7</v>
      </c>
      <c r="B15" s="227">
        <v>111.13199545000002</v>
      </c>
      <c r="C15" s="226">
        <v>12222.900963080001</v>
      </c>
      <c r="D15" s="226">
        <v>112.7920224</v>
      </c>
      <c r="E15" s="226">
        <v>12545.225656020002</v>
      </c>
      <c r="F15" s="228">
        <f t="shared" si="0"/>
        <v>101.4937434923922</v>
      </c>
      <c r="G15" s="5">
        <f t="shared" si="0"/>
        <v>102.63705558863319</v>
      </c>
      <c r="J15" s="105"/>
      <c r="K15" s="105"/>
    </row>
    <row r="16" spans="1:11" s="1" customFormat="1" ht="26.25" customHeight="1">
      <c r="A16" s="14" t="s">
        <v>8</v>
      </c>
      <c r="B16" s="227">
        <v>110.19582245000001</v>
      </c>
      <c r="C16" s="226">
        <v>4963.37672083</v>
      </c>
      <c r="D16" s="226">
        <v>111.95010239999999</v>
      </c>
      <c r="E16" s="226">
        <v>5061.09732057</v>
      </c>
      <c r="F16" s="228">
        <f t="shared" si="0"/>
        <v>101.59196593028376</v>
      </c>
      <c r="G16" s="5">
        <f t="shared" si="0"/>
        <v>101.96883301905923</v>
      </c>
      <c r="J16" s="105"/>
      <c r="K16" s="105"/>
    </row>
    <row r="17" spans="1:11" s="1" customFormat="1" ht="26.25" customHeight="1">
      <c r="A17" s="14" t="s">
        <v>9</v>
      </c>
      <c r="B17" s="227">
        <v>115.70822934999998</v>
      </c>
      <c r="C17" s="226">
        <v>11050.19224931</v>
      </c>
      <c r="D17" s="226">
        <v>117.23174719999997</v>
      </c>
      <c r="E17" s="226">
        <v>11249.64165879</v>
      </c>
      <c r="F17" s="228">
        <f t="shared" si="0"/>
        <v>101.31668927833263</v>
      </c>
      <c r="G17" s="5">
        <f t="shared" si="0"/>
        <v>101.80494062890584</v>
      </c>
      <c r="J17" s="105"/>
      <c r="K17" s="105"/>
    </row>
    <row r="18" spans="1:11" s="1" customFormat="1" ht="26.25" customHeight="1">
      <c r="A18" s="14" t="s">
        <v>10</v>
      </c>
      <c r="B18" s="227">
        <v>41.92127625</v>
      </c>
      <c r="C18" s="226">
        <v>2610.3139630299997</v>
      </c>
      <c r="D18" s="226">
        <v>42.19422399999999</v>
      </c>
      <c r="E18" s="226">
        <v>2633.42003337</v>
      </c>
      <c r="F18" s="228">
        <f t="shared" si="0"/>
        <v>100.6510959932905</v>
      </c>
      <c r="G18" s="5">
        <f t="shared" si="0"/>
        <v>100.88518357053032</v>
      </c>
      <c r="J18" s="105"/>
      <c r="K18" s="105"/>
    </row>
    <row r="19" spans="1:11" s="1" customFormat="1" ht="26.25" customHeight="1">
      <c r="A19" s="14" t="s">
        <v>11</v>
      </c>
      <c r="B19" s="227">
        <v>332.28909945000004</v>
      </c>
      <c r="C19" s="226">
        <v>9616.97598594</v>
      </c>
      <c r="D19" s="226">
        <v>338.39851839999994</v>
      </c>
      <c r="E19" s="226">
        <v>9893.07533736</v>
      </c>
      <c r="F19" s="228">
        <f t="shared" si="0"/>
        <v>101.83858542459325</v>
      </c>
      <c r="G19" s="5">
        <f t="shared" si="0"/>
        <v>102.870958103916</v>
      </c>
      <c r="J19" s="105"/>
      <c r="K19" s="105"/>
    </row>
    <row r="20" spans="1:11" s="1" customFormat="1" ht="26.25" customHeight="1">
      <c r="A20" s="14" t="s">
        <v>12</v>
      </c>
      <c r="B20" s="227">
        <v>164.16344245</v>
      </c>
      <c r="C20" s="226">
        <v>4917.3631590800005</v>
      </c>
      <c r="D20" s="226">
        <v>166.53458239999998</v>
      </c>
      <c r="E20" s="226">
        <v>5034.236058720001</v>
      </c>
      <c r="F20" s="228">
        <f t="shared" si="0"/>
        <v>101.44437757555076</v>
      </c>
      <c r="G20" s="5">
        <f t="shared" si="0"/>
        <v>102.37673923725141</v>
      </c>
      <c r="J20" s="105"/>
      <c r="K20" s="105"/>
    </row>
    <row r="21" spans="1:11" s="1" customFormat="1" ht="26.25" customHeight="1">
      <c r="A21" s="14" t="s">
        <v>13</v>
      </c>
      <c r="B21" s="227">
        <v>160.3389004</v>
      </c>
      <c r="C21" s="226">
        <v>6058.78265086</v>
      </c>
      <c r="D21" s="226">
        <v>163.0855168</v>
      </c>
      <c r="E21" s="226">
        <v>6194.6425706400005</v>
      </c>
      <c r="F21" s="228">
        <f t="shared" si="0"/>
        <v>101.71300688301339</v>
      </c>
      <c r="G21" s="5">
        <f t="shared" si="0"/>
        <v>102.24236331964667</v>
      </c>
      <c r="J21" s="105"/>
      <c r="K21" s="105"/>
    </row>
    <row r="22" spans="1:11" s="1" customFormat="1" ht="26.25" customHeight="1">
      <c r="A22" s="16" t="s">
        <v>14</v>
      </c>
      <c r="B22" s="229">
        <v>43.85695160000001</v>
      </c>
      <c r="C22" s="230">
        <v>2731.93134624</v>
      </c>
      <c r="D22" s="230">
        <v>44.1951872</v>
      </c>
      <c r="E22" s="230">
        <v>2758.14340596</v>
      </c>
      <c r="F22" s="231">
        <f t="shared" si="0"/>
        <v>100.77122460102765</v>
      </c>
      <c r="G22" s="29">
        <f t="shared" si="0"/>
        <v>100.95946992797151</v>
      </c>
      <c r="J22" s="105"/>
      <c r="K22" s="105"/>
    </row>
    <row r="23" spans="2:5" ht="24.75" customHeight="1">
      <c r="B23" s="355"/>
      <c r="C23" s="355"/>
      <c r="D23" s="355"/>
      <c r="E23" s="355"/>
    </row>
    <row r="24" spans="2:5" ht="24.75" customHeight="1">
      <c r="B24" s="356"/>
      <c r="C24" s="356"/>
      <c r="D24" s="356"/>
      <c r="E24" s="356"/>
    </row>
  </sheetData>
  <sheetProtection/>
  <mergeCells count="4">
    <mergeCell ref="A3:A4"/>
    <mergeCell ref="B3:C3"/>
    <mergeCell ref="D3:E3"/>
    <mergeCell ref="F3:G3"/>
  </mergeCells>
  <printOptions/>
  <pageMargins left="0.7" right="0.3" top="0.7" bottom="0.7" header="0.57" footer="0.3149606299212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88"/>
  <sheetViews>
    <sheetView zoomScalePageLayoutView="0" workbookViewId="0" topLeftCell="A1">
      <pane ySplit="6" topLeftCell="BM76" activePane="bottomLeft" state="frozen"/>
      <selection pane="topLeft" activeCell="A1" sqref="A1"/>
      <selection pane="bottomLeft" activeCell="I83" sqref="I83"/>
    </sheetView>
  </sheetViews>
  <sheetFormatPr defaultColWidth="9.00390625" defaultRowHeight="23.25" customHeight="1"/>
  <cols>
    <col min="1" max="1" width="32.125" style="1" customWidth="1"/>
    <col min="2" max="2" width="9.00390625" style="1" bestFit="1" customWidth="1"/>
    <col min="3" max="3" width="10.375" style="1" customWidth="1"/>
    <col min="4" max="4" width="8.50390625" style="1" customWidth="1"/>
    <col min="5" max="5" width="9.875" style="1" customWidth="1"/>
    <col min="6" max="6" width="8.50390625" style="1" customWidth="1"/>
    <col min="7" max="7" width="8.50390625" style="45" customWidth="1"/>
    <col min="8" max="8" width="6.875" style="1" bestFit="1" customWidth="1"/>
    <col min="9" max="16384" width="9.00390625" style="1" customWidth="1"/>
  </cols>
  <sheetData>
    <row r="1" ht="23.25" customHeight="1">
      <c r="A1" s="109"/>
    </row>
    <row r="2" spans="1:7" s="205" customFormat="1" ht="24.75" customHeight="1">
      <c r="A2" s="279" t="s">
        <v>275</v>
      </c>
      <c r="B2" s="204"/>
      <c r="C2" s="204"/>
      <c r="E2" s="206"/>
      <c r="F2" s="206"/>
      <c r="G2" s="207"/>
    </row>
    <row r="3" spans="1:6" ht="15.75" customHeight="1">
      <c r="A3" s="2"/>
      <c r="B3" s="112"/>
      <c r="C3" s="112"/>
      <c r="D3" s="112"/>
      <c r="E3" s="45"/>
      <c r="F3" s="45"/>
    </row>
    <row r="4" spans="1:7" ht="23.25" customHeight="1">
      <c r="A4" s="358" t="s">
        <v>0</v>
      </c>
      <c r="B4" s="360" t="s">
        <v>1</v>
      </c>
      <c r="C4" s="362" t="s">
        <v>256</v>
      </c>
      <c r="D4" s="357" t="s">
        <v>397</v>
      </c>
      <c r="E4" s="357"/>
      <c r="F4" s="357" t="s">
        <v>259</v>
      </c>
      <c r="G4" s="357"/>
    </row>
    <row r="5" spans="1:7" ht="25.5">
      <c r="A5" s="359"/>
      <c r="B5" s="361"/>
      <c r="C5" s="362"/>
      <c r="D5" s="274" t="s">
        <v>257</v>
      </c>
      <c r="E5" s="274" t="s">
        <v>258</v>
      </c>
      <c r="F5" s="274" t="s">
        <v>254</v>
      </c>
      <c r="G5" s="275" t="s">
        <v>255</v>
      </c>
    </row>
    <row r="6" spans="1:7" s="244" customFormat="1" ht="17.25" customHeight="1">
      <c r="A6" s="278" t="s">
        <v>274</v>
      </c>
      <c r="B6" s="241"/>
      <c r="C6" s="242"/>
      <c r="D6" s="242"/>
      <c r="E6" s="242"/>
      <c r="F6" s="243"/>
      <c r="G6" s="243"/>
    </row>
    <row r="7" spans="1:7" s="10" customFormat="1" ht="17.25" customHeight="1">
      <c r="A7" s="345" t="s">
        <v>261</v>
      </c>
      <c r="B7" s="246" t="s">
        <v>151</v>
      </c>
      <c r="C7" s="336">
        <f>C8+C9+C10</f>
        <v>10867980</v>
      </c>
      <c r="D7" s="156">
        <v>0</v>
      </c>
      <c r="E7" s="336">
        <f>E8+E9+E10</f>
        <v>11827116</v>
      </c>
      <c r="F7" s="322">
        <f aca="true" t="shared" si="0" ref="F7:F38">E7/C7*100</f>
        <v>108.82533828733582</v>
      </c>
      <c r="G7" s="156">
        <v>0</v>
      </c>
    </row>
    <row r="8" spans="1:7" s="8" customFormat="1" ht="17.25" customHeight="1">
      <c r="A8" s="346" t="s">
        <v>216</v>
      </c>
      <c r="B8" s="269" t="s">
        <v>81</v>
      </c>
      <c r="C8" s="337">
        <v>5488988</v>
      </c>
      <c r="D8" s="155">
        <v>0</v>
      </c>
      <c r="E8" s="337">
        <v>5727759</v>
      </c>
      <c r="F8" s="324">
        <f t="shared" si="0"/>
        <v>104.35000040080249</v>
      </c>
      <c r="G8" s="155">
        <v>0</v>
      </c>
    </row>
    <row r="9" spans="1:7" s="8" customFormat="1" ht="17.25" customHeight="1">
      <c r="A9" s="346" t="s">
        <v>217</v>
      </c>
      <c r="B9" s="269" t="s">
        <v>81</v>
      </c>
      <c r="C9" s="337">
        <v>4908499</v>
      </c>
      <c r="D9" s="155">
        <v>0</v>
      </c>
      <c r="E9" s="337">
        <v>5558384</v>
      </c>
      <c r="F9" s="324">
        <f t="shared" si="0"/>
        <v>113.23999454823155</v>
      </c>
      <c r="G9" s="155">
        <v>0</v>
      </c>
    </row>
    <row r="10" spans="1:7" s="8" customFormat="1" ht="17.25" customHeight="1">
      <c r="A10" s="346" t="s">
        <v>218</v>
      </c>
      <c r="B10" s="269" t="s">
        <v>81</v>
      </c>
      <c r="C10" s="337">
        <v>470493</v>
      </c>
      <c r="D10" s="155">
        <v>0</v>
      </c>
      <c r="E10" s="337">
        <v>540973</v>
      </c>
      <c r="F10" s="324">
        <f t="shared" si="0"/>
        <v>114.98003158389179</v>
      </c>
      <c r="G10" s="155">
        <v>0</v>
      </c>
    </row>
    <row r="11" spans="1:7" s="10" customFormat="1" ht="17.25" customHeight="1">
      <c r="A11" s="345" t="s">
        <v>402</v>
      </c>
      <c r="B11" s="246" t="s">
        <v>151</v>
      </c>
      <c r="C11" s="336">
        <f>C12+C13+C14</f>
        <v>8880840</v>
      </c>
      <c r="D11" s="156">
        <v>0</v>
      </c>
      <c r="E11" s="336">
        <f>E12+E13+E14</f>
        <v>9345870</v>
      </c>
      <c r="F11" s="322">
        <f t="shared" si="0"/>
        <v>105.23632899590581</v>
      </c>
      <c r="G11" s="156">
        <v>0</v>
      </c>
    </row>
    <row r="12" spans="1:7" s="8" customFormat="1" ht="17.25" customHeight="1">
      <c r="A12" s="346" t="s">
        <v>216</v>
      </c>
      <c r="B12" s="269" t="s">
        <v>81</v>
      </c>
      <c r="C12" s="337">
        <v>4558807</v>
      </c>
      <c r="D12" s="155">
        <v>0</v>
      </c>
      <c r="E12" s="337">
        <v>4647532</v>
      </c>
      <c r="F12" s="324">
        <f t="shared" si="0"/>
        <v>101.94623286311528</v>
      </c>
      <c r="G12" s="155">
        <v>0</v>
      </c>
    </row>
    <row r="13" spans="1:7" s="8" customFormat="1" ht="17.25" customHeight="1">
      <c r="A13" s="346" t="s">
        <v>217</v>
      </c>
      <c r="B13" s="269" t="s">
        <v>81</v>
      </c>
      <c r="C13" s="337">
        <v>3938865</v>
      </c>
      <c r="D13" s="155">
        <v>0</v>
      </c>
      <c r="E13" s="337">
        <v>4280225</v>
      </c>
      <c r="F13" s="324">
        <f t="shared" si="0"/>
        <v>108.66645594606568</v>
      </c>
      <c r="G13" s="155">
        <v>0</v>
      </c>
    </row>
    <row r="14" spans="1:7" s="8" customFormat="1" ht="17.25" customHeight="1">
      <c r="A14" s="346" t="s">
        <v>218</v>
      </c>
      <c r="B14" s="269" t="s">
        <v>81</v>
      </c>
      <c r="C14" s="337">
        <v>383168</v>
      </c>
      <c r="D14" s="155">
        <v>0</v>
      </c>
      <c r="E14" s="337">
        <v>418113</v>
      </c>
      <c r="F14" s="324">
        <f t="shared" si="0"/>
        <v>109.12002046099883</v>
      </c>
      <c r="G14" s="155">
        <v>0</v>
      </c>
    </row>
    <row r="15" spans="1:7" s="10" customFormat="1" ht="17.25" customHeight="1">
      <c r="A15" s="345" t="s">
        <v>398</v>
      </c>
      <c r="B15" s="347" t="s">
        <v>188</v>
      </c>
      <c r="C15" s="276">
        <f>C16+C17</f>
        <v>86552.70000000001</v>
      </c>
      <c r="D15" s="276">
        <f>D16+D17</f>
        <v>86400</v>
      </c>
      <c r="E15" s="276">
        <f>E16+E17</f>
        <v>88374.1</v>
      </c>
      <c r="F15" s="322">
        <f>E15/C15*100</f>
        <v>102.10438264779722</v>
      </c>
      <c r="G15" s="323">
        <f>E15/D15*100</f>
        <v>102.28483796296297</v>
      </c>
    </row>
    <row r="16" spans="1:7" s="8" customFormat="1" ht="17.25" customHeight="1">
      <c r="A16" s="346" t="s">
        <v>219</v>
      </c>
      <c r="B16" s="269" t="s">
        <v>81</v>
      </c>
      <c r="C16" s="277">
        <v>69176.8</v>
      </c>
      <c r="D16" s="277">
        <v>68600</v>
      </c>
      <c r="E16" s="277">
        <v>69809.7</v>
      </c>
      <c r="F16" s="324">
        <f>E16/C16*100</f>
        <v>100.91490210590833</v>
      </c>
      <c r="G16" s="325">
        <f>E16/D16*100</f>
        <v>101.7634110787172</v>
      </c>
    </row>
    <row r="17" spans="1:7" s="8" customFormat="1" ht="17.25" customHeight="1">
      <c r="A17" s="346" t="s">
        <v>182</v>
      </c>
      <c r="B17" s="269" t="s">
        <v>81</v>
      </c>
      <c r="C17" s="277">
        <v>17375.9</v>
      </c>
      <c r="D17" s="277">
        <v>17800</v>
      </c>
      <c r="E17" s="277">
        <v>18564.4</v>
      </c>
      <c r="F17" s="324">
        <f>E17/C17*100</f>
        <v>106.83993347107199</v>
      </c>
      <c r="G17" s="325">
        <f>E17/D17*100</f>
        <v>104.29438202247192</v>
      </c>
    </row>
    <row r="18" spans="1:7" s="10" customFormat="1" ht="17.25" customHeight="1">
      <c r="A18" s="345" t="s">
        <v>220</v>
      </c>
      <c r="B18" s="246" t="s">
        <v>221</v>
      </c>
      <c r="C18" s="276"/>
      <c r="D18" s="276"/>
      <c r="E18" s="276"/>
      <c r="F18" s="322"/>
      <c r="G18" s="323"/>
    </row>
    <row r="19" spans="1:7" s="8" customFormat="1" ht="17.25" customHeight="1">
      <c r="A19" s="346" t="s">
        <v>219</v>
      </c>
      <c r="B19" s="269" t="s">
        <v>81</v>
      </c>
      <c r="C19" s="338">
        <v>54.29</v>
      </c>
      <c r="D19" s="338">
        <v>55.6</v>
      </c>
      <c r="E19" s="338">
        <v>54.38</v>
      </c>
      <c r="F19" s="324">
        <f t="shared" si="0"/>
        <v>100.1657763860748</v>
      </c>
      <c r="G19" s="325">
        <f aca="true" t="shared" si="1" ref="G19:G25">E19/D19*100</f>
        <v>97.80575539568346</v>
      </c>
    </row>
    <row r="20" spans="1:7" s="8" customFormat="1" ht="17.25" customHeight="1">
      <c r="A20" s="346" t="s">
        <v>182</v>
      </c>
      <c r="B20" s="269" t="s">
        <v>81</v>
      </c>
      <c r="C20" s="338">
        <v>45.53</v>
      </c>
      <c r="D20" s="338">
        <v>47.1</v>
      </c>
      <c r="E20" s="338">
        <v>45.48</v>
      </c>
      <c r="F20" s="325">
        <f t="shared" si="0"/>
        <v>99.89018229738633</v>
      </c>
      <c r="G20" s="325">
        <f t="shared" si="1"/>
        <v>96.56050955414011</v>
      </c>
    </row>
    <row r="21" spans="1:7" s="10" customFormat="1" ht="17.25" customHeight="1">
      <c r="A21" s="345" t="s">
        <v>222</v>
      </c>
      <c r="B21" s="246" t="s">
        <v>15</v>
      </c>
      <c r="C21" s="277">
        <f>C22+C23</f>
        <v>454708.5</v>
      </c>
      <c r="D21" s="277">
        <f>D22+D23</f>
        <v>465200</v>
      </c>
      <c r="E21" s="277">
        <f>E22+E23</f>
        <v>466478.5</v>
      </c>
      <c r="F21" s="325">
        <f t="shared" si="0"/>
        <v>102.58847151526747</v>
      </c>
      <c r="G21" s="325">
        <f t="shared" si="1"/>
        <v>100.27482803095442</v>
      </c>
    </row>
    <row r="22" spans="1:7" s="8" customFormat="1" ht="17.25" customHeight="1">
      <c r="A22" s="346" t="s">
        <v>219</v>
      </c>
      <c r="B22" s="269" t="s">
        <v>81</v>
      </c>
      <c r="C22" s="277">
        <v>375589</v>
      </c>
      <c r="D22" s="277">
        <v>381400</v>
      </c>
      <c r="E22" s="277">
        <v>382046</v>
      </c>
      <c r="F22" s="325">
        <f t="shared" si="0"/>
        <v>101.71916642926178</v>
      </c>
      <c r="G22" s="325">
        <f t="shared" si="1"/>
        <v>100.16937598321971</v>
      </c>
    </row>
    <row r="23" spans="1:7" s="8" customFormat="1" ht="17.25" customHeight="1">
      <c r="A23" s="346" t="s">
        <v>182</v>
      </c>
      <c r="B23" s="269" t="s">
        <v>81</v>
      </c>
      <c r="C23" s="277">
        <v>79119.5</v>
      </c>
      <c r="D23" s="277">
        <v>83800</v>
      </c>
      <c r="E23" s="277">
        <v>84432.5</v>
      </c>
      <c r="F23" s="325">
        <f t="shared" si="0"/>
        <v>106.71515871561373</v>
      </c>
      <c r="G23" s="325">
        <f t="shared" si="1"/>
        <v>100.75477326968974</v>
      </c>
    </row>
    <row r="24" spans="1:7" s="10" customFormat="1" ht="17.25" customHeight="1">
      <c r="A24" s="345" t="s">
        <v>272</v>
      </c>
      <c r="B24" s="347" t="s">
        <v>223</v>
      </c>
      <c r="C24" s="276">
        <f>C21/Syn!C6*1000</f>
        <v>339.128946392972</v>
      </c>
      <c r="D24" s="276">
        <f>D21/1346.4</f>
        <v>345.51396316102193</v>
      </c>
      <c r="E24" s="276">
        <f>E21/Syn!D6*1000</f>
        <v>345.7188912769584</v>
      </c>
      <c r="F24" s="323">
        <f t="shared" si="0"/>
        <v>101.94319740443217</v>
      </c>
      <c r="G24" s="323">
        <f t="shared" si="1"/>
        <v>100.05931109529168</v>
      </c>
    </row>
    <row r="25" spans="1:7" s="10" customFormat="1" ht="17.25" customHeight="1">
      <c r="A25" s="345" t="s">
        <v>224</v>
      </c>
      <c r="B25" s="347" t="s">
        <v>188</v>
      </c>
      <c r="C25" s="276">
        <f>C26+C27</f>
        <v>69176.8</v>
      </c>
      <c r="D25" s="276">
        <v>68600</v>
      </c>
      <c r="E25" s="276">
        <f>E26+E27</f>
        <v>69809.70000000001</v>
      </c>
      <c r="F25" s="323">
        <f t="shared" si="0"/>
        <v>100.91490210590834</v>
      </c>
      <c r="G25" s="323">
        <f t="shared" si="1"/>
        <v>101.76341107871723</v>
      </c>
    </row>
    <row r="26" spans="1:7" s="8" customFormat="1" ht="17.25" customHeight="1">
      <c r="A26" s="346" t="s">
        <v>225</v>
      </c>
      <c r="B26" s="269" t="s">
        <v>81</v>
      </c>
      <c r="C26" s="277">
        <v>36681.6</v>
      </c>
      <c r="D26" s="155">
        <v>0</v>
      </c>
      <c r="E26" s="277">
        <v>36693.9</v>
      </c>
      <c r="F26" s="325">
        <f t="shared" si="0"/>
        <v>100.03353179795866</v>
      </c>
      <c r="G26" s="155">
        <v>0</v>
      </c>
    </row>
    <row r="27" spans="1:7" s="8" customFormat="1" ht="16.5" customHeight="1">
      <c r="A27" s="346" t="s">
        <v>226</v>
      </c>
      <c r="B27" s="269" t="s">
        <v>81</v>
      </c>
      <c r="C27" s="326">
        <v>32495.2</v>
      </c>
      <c r="D27" s="155">
        <v>0</v>
      </c>
      <c r="E27" s="326">
        <v>33115.8</v>
      </c>
      <c r="F27" s="325">
        <f t="shared" si="0"/>
        <v>101.90982052733943</v>
      </c>
      <c r="G27" s="155">
        <v>0</v>
      </c>
    </row>
    <row r="28" spans="1:7" s="10" customFormat="1" ht="16.5" customHeight="1">
      <c r="A28" s="345" t="s">
        <v>227</v>
      </c>
      <c r="B28" s="246" t="s">
        <v>221</v>
      </c>
      <c r="C28" s="339">
        <v>54.29</v>
      </c>
      <c r="D28" s="339">
        <v>55.6</v>
      </c>
      <c r="E28" s="339">
        <v>54.38</v>
      </c>
      <c r="F28" s="323">
        <f t="shared" si="0"/>
        <v>100.1657763860748</v>
      </c>
      <c r="G28" s="323">
        <f>E28/D28*100</f>
        <v>97.80575539568346</v>
      </c>
    </row>
    <row r="29" spans="1:7" s="8" customFormat="1" ht="16.5" customHeight="1">
      <c r="A29" s="346" t="s">
        <v>225</v>
      </c>
      <c r="B29" s="269" t="s">
        <v>81</v>
      </c>
      <c r="C29" s="340">
        <v>57.56</v>
      </c>
      <c r="D29" s="155">
        <v>0</v>
      </c>
      <c r="E29" s="340">
        <v>57.97</v>
      </c>
      <c r="F29" s="325">
        <f t="shared" si="0"/>
        <v>100.7123002084781</v>
      </c>
      <c r="G29" s="155">
        <v>0</v>
      </c>
    </row>
    <row r="30" spans="1:7" s="8" customFormat="1" ht="16.5" customHeight="1">
      <c r="A30" s="346" t="s">
        <v>226</v>
      </c>
      <c r="B30" s="269" t="s">
        <v>81</v>
      </c>
      <c r="C30" s="340">
        <v>50.61</v>
      </c>
      <c r="D30" s="155">
        <v>0</v>
      </c>
      <c r="E30" s="340">
        <v>50.39</v>
      </c>
      <c r="F30" s="325">
        <f t="shared" si="0"/>
        <v>99.56530329974314</v>
      </c>
      <c r="G30" s="155">
        <v>0</v>
      </c>
    </row>
    <row r="31" spans="1:7" s="10" customFormat="1" ht="16.5" customHeight="1">
      <c r="A31" s="345" t="s">
        <v>228</v>
      </c>
      <c r="B31" s="246" t="s">
        <v>15</v>
      </c>
      <c r="C31" s="327">
        <f>C32+C33</f>
        <v>375589</v>
      </c>
      <c r="D31" s="327">
        <v>381400</v>
      </c>
      <c r="E31" s="327">
        <f>E32+E33</f>
        <v>382046</v>
      </c>
      <c r="F31" s="323">
        <f t="shared" si="0"/>
        <v>101.71916642926178</v>
      </c>
      <c r="G31" s="323">
        <f>E31/D31*100</f>
        <v>100.16937598321971</v>
      </c>
    </row>
    <row r="32" spans="1:7" s="8" customFormat="1" ht="16.5" customHeight="1">
      <c r="A32" s="346" t="s">
        <v>225</v>
      </c>
      <c r="B32" s="269" t="s">
        <v>81</v>
      </c>
      <c r="C32" s="326">
        <v>211142.7</v>
      </c>
      <c r="D32" s="155">
        <v>0</v>
      </c>
      <c r="E32" s="326">
        <v>212709.90000000002</v>
      </c>
      <c r="F32" s="325">
        <f t="shared" si="0"/>
        <v>100.74224683117153</v>
      </c>
      <c r="G32" s="155">
        <v>0</v>
      </c>
    </row>
    <row r="33" spans="1:7" s="8" customFormat="1" ht="16.5" customHeight="1">
      <c r="A33" s="346" t="s">
        <v>226</v>
      </c>
      <c r="B33" s="269" t="s">
        <v>81</v>
      </c>
      <c r="C33" s="326">
        <v>164446.3</v>
      </c>
      <c r="D33" s="155">
        <v>0</v>
      </c>
      <c r="E33" s="326">
        <v>169336.1</v>
      </c>
      <c r="F33" s="325">
        <f t="shared" si="0"/>
        <v>102.97349347476958</v>
      </c>
      <c r="G33" s="155">
        <v>0</v>
      </c>
    </row>
    <row r="34" spans="1:7" s="10" customFormat="1" ht="16.5" customHeight="1">
      <c r="A34" s="345" t="s">
        <v>271</v>
      </c>
      <c r="B34" s="347" t="s">
        <v>188</v>
      </c>
      <c r="C34" s="327"/>
      <c r="D34" s="327"/>
      <c r="E34" s="327"/>
      <c r="F34" s="323"/>
      <c r="G34" s="323"/>
    </row>
    <row r="35" spans="1:7" s="8" customFormat="1" ht="16.5" customHeight="1">
      <c r="A35" s="348" t="s">
        <v>183</v>
      </c>
      <c r="B35" s="269" t="s">
        <v>81</v>
      </c>
      <c r="C35" s="326">
        <v>2791.2</v>
      </c>
      <c r="D35" s="155">
        <v>0</v>
      </c>
      <c r="E35" s="326">
        <v>2880.5</v>
      </c>
      <c r="F35" s="325">
        <f t="shared" si="0"/>
        <v>103.1993407853253</v>
      </c>
      <c r="G35" s="155">
        <v>0</v>
      </c>
    </row>
    <row r="36" spans="1:7" s="8" customFormat="1" ht="16.5" customHeight="1">
      <c r="A36" s="346" t="s">
        <v>229</v>
      </c>
      <c r="B36" s="269" t="s">
        <v>81</v>
      </c>
      <c r="C36" s="326">
        <v>9197.8</v>
      </c>
      <c r="D36" s="155">
        <v>0</v>
      </c>
      <c r="E36" s="326">
        <v>8654.6</v>
      </c>
      <c r="F36" s="325">
        <f t="shared" si="0"/>
        <v>94.09423992693905</v>
      </c>
      <c r="G36" s="155">
        <v>0</v>
      </c>
    </row>
    <row r="37" spans="1:7" s="10" customFormat="1" ht="16.5" customHeight="1">
      <c r="A37" s="345" t="s">
        <v>230</v>
      </c>
      <c r="B37" s="246" t="s">
        <v>221</v>
      </c>
      <c r="C37" s="327"/>
      <c r="D37" s="327"/>
      <c r="E37" s="327"/>
      <c r="F37" s="323"/>
      <c r="G37" s="323"/>
    </row>
    <row r="38" spans="1:7" s="8" customFormat="1" ht="16.5" customHeight="1">
      <c r="A38" s="348" t="s">
        <v>183</v>
      </c>
      <c r="B38" s="269" t="s">
        <v>81</v>
      </c>
      <c r="C38" s="340">
        <v>67.52</v>
      </c>
      <c r="D38" s="155">
        <v>0</v>
      </c>
      <c r="E38" s="340">
        <v>63.91</v>
      </c>
      <c r="F38" s="325">
        <f t="shared" si="0"/>
        <v>94.65343601895735</v>
      </c>
      <c r="G38" s="155">
        <v>0</v>
      </c>
    </row>
    <row r="39" spans="1:7" s="8" customFormat="1" ht="16.5" customHeight="1">
      <c r="A39" s="346" t="s">
        <v>229</v>
      </c>
      <c r="B39" s="269" t="s">
        <v>81</v>
      </c>
      <c r="C39" s="340">
        <v>132.67</v>
      </c>
      <c r="D39" s="155">
        <v>0</v>
      </c>
      <c r="E39" s="340">
        <v>132.38</v>
      </c>
      <c r="F39" s="325">
        <f>E39/C39*100</f>
        <v>99.78141252732344</v>
      </c>
      <c r="G39" s="155">
        <v>0</v>
      </c>
    </row>
    <row r="40" spans="1:7" s="10" customFormat="1" ht="16.5" customHeight="1">
      <c r="A40" s="345" t="s">
        <v>231</v>
      </c>
      <c r="B40" s="246" t="s">
        <v>15</v>
      </c>
      <c r="C40" s="327"/>
      <c r="D40" s="327"/>
      <c r="E40" s="327"/>
      <c r="F40" s="323"/>
      <c r="G40" s="323"/>
    </row>
    <row r="41" spans="1:7" s="8" customFormat="1" ht="16.5" customHeight="1">
      <c r="A41" s="348" t="s">
        <v>183</v>
      </c>
      <c r="B41" s="269" t="s">
        <v>81</v>
      </c>
      <c r="C41" s="326">
        <v>18845.6</v>
      </c>
      <c r="D41" s="155">
        <v>0</v>
      </c>
      <c r="E41" s="326">
        <v>18410.5</v>
      </c>
      <c r="F41" s="325">
        <f>E41/C41*100</f>
        <v>97.69123827312477</v>
      </c>
      <c r="G41" s="155">
        <v>0</v>
      </c>
    </row>
    <row r="42" spans="1:7" s="8" customFormat="1" ht="16.5" customHeight="1">
      <c r="A42" s="346" t="s">
        <v>229</v>
      </c>
      <c r="B42" s="269" t="s">
        <v>81</v>
      </c>
      <c r="C42" s="326">
        <v>122031.3</v>
      </c>
      <c r="D42" s="155">
        <v>0</v>
      </c>
      <c r="E42" s="326">
        <v>114564.3</v>
      </c>
      <c r="F42" s="325">
        <f>E42/C42*100</f>
        <v>93.88107805128683</v>
      </c>
      <c r="G42" s="155">
        <v>0</v>
      </c>
    </row>
    <row r="43" spans="1:7" s="10" customFormat="1" ht="16.5" customHeight="1">
      <c r="A43" s="345" t="s">
        <v>270</v>
      </c>
      <c r="B43" s="347" t="s">
        <v>188</v>
      </c>
      <c r="C43" s="327"/>
      <c r="D43" s="327"/>
      <c r="E43" s="327"/>
      <c r="F43" s="323"/>
      <c r="G43" s="323"/>
    </row>
    <row r="44" spans="1:7" s="8" customFormat="1" ht="16.5" customHeight="1">
      <c r="A44" s="346" t="s">
        <v>232</v>
      </c>
      <c r="B44" s="269" t="s">
        <v>81</v>
      </c>
      <c r="C44" s="326">
        <v>600.3</v>
      </c>
      <c r="D44" s="155">
        <v>0</v>
      </c>
      <c r="E44" s="326">
        <v>593.2</v>
      </c>
      <c r="F44" s="325">
        <f aca="true" t="shared" si="2" ref="F44:F54">E44/C44*100</f>
        <v>98.81725803764786</v>
      </c>
      <c r="G44" s="155">
        <v>0</v>
      </c>
    </row>
    <row r="45" spans="1:7" s="8" customFormat="1" ht="16.5" customHeight="1">
      <c r="A45" s="346" t="s">
        <v>185</v>
      </c>
      <c r="B45" s="269" t="s">
        <v>81</v>
      </c>
      <c r="C45" s="326">
        <v>4992</v>
      </c>
      <c r="D45" s="155">
        <v>0</v>
      </c>
      <c r="E45" s="326">
        <v>5111.2</v>
      </c>
      <c r="F45" s="325">
        <f t="shared" si="2"/>
        <v>102.38782051282051</v>
      </c>
      <c r="G45" s="155">
        <v>0</v>
      </c>
    </row>
    <row r="46" spans="1:7" s="8" customFormat="1" ht="16.5" customHeight="1">
      <c r="A46" s="349" t="s">
        <v>184</v>
      </c>
      <c r="B46" s="271" t="s">
        <v>81</v>
      </c>
      <c r="C46" s="328">
        <v>908.8</v>
      </c>
      <c r="D46" s="36">
        <v>0</v>
      </c>
      <c r="E46" s="328">
        <v>684.4</v>
      </c>
      <c r="F46" s="329">
        <f t="shared" si="2"/>
        <v>75.3080985915493</v>
      </c>
      <c r="G46" s="36">
        <v>0</v>
      </c>
    </row>
    <row r="47" spans="1:7" s="10" customFormat="1" ht="16.5" customHeight="1">
      <c r="A47" s="350" t="s">
        <v>269</v>
      </c>
      <c r="B47" s="351" t="s">
        <v>221</v>
      </c>
      <c r="C47" s="330"/>
      <c r="D47" s="330"/>
      <c r="E47" s="330"/>
      <c r="F47" s="331"/>
      <c r="G47" s="331"/>
    </row>
    <row r="48" spans="1:7" s="8" customFormat="1" ht="16.5" customHeight="1">
      <c r="A48" s="346" t="s">
        <v>232</v>
      </c>
      <c r="B48" s="269" t="s">
        <v>81</v>
      </c>
      <c r="C48" s="340">
        <v>585.8</v>
      </c>
      <c r="D48" s="155">
        <v>0</v>
      </c>
      <c r="E48" s="340">
        <v>578.39</v>
      </c>
      <c r="F48" s="325">
        <f t="shared" si="2"/>
        <v>98.73506316148857</v>
      </c>
      <c r="G48" s="155">
        <v>0</v>
      </c>
    </row>
    <row r="49" spans="1:7" s="8" customFormat="1" ht="16.5" customHeight="1">
      <c r="A49" s="346" t="s">
        <v>185</v>
      </c>
      <c r="B49" s="269" t="s">
        <v>81</v>
      </c>
      <c r="C49" s="340">
        <v>18.62</v>
      </c>
      <c r="D49" s="155">
        <v>0</v>
      </c>
      <c r="E49" s="340">
        <v>18.97</v>
      </c>
      <c r="F49" s="325">
        <f t="shared" si="2"/>
        <v>101.87969924812028</v>
      </c>
      <c r="G49" s="155">
        <v>0</v>
      </c>
    </row>
    <row r="50" spans="1:7" s="8" customFormat="1" ht="16.5" customHeight="1">
      <c r="A50" s="346" t="s">
        <v>184</v>
      </c>
      <c r="B50" s="269" t="s">
        <v>81</v>
      </c>
      <c r="C50" s="340">
        <v>17.49</v>
      </c>
      <c r="D50" s="155">
        <v>0</v>
      </c>
      <c r="E50" s="340">
        <v>17.59</v>
      </c>
      <c r="F50" s="325">
        <f t="shared" si="2"/>
        <v>100.57175528873643</v>
      </c>
      <c r="G50" s="155">
        <v>0</v>
      </c>
    </row>
    <row r="51" spans="1:7" s="10" customFormat="1" ht="17.25" customHeight="1">
      <c r="A51" s="345" t="s">
        <v>268</v>
      </c>
      <c r="B51" s="246" t="s">
        <v>15</v>
      </c>
      <c r="C51" s="327"/>
      <c r="D51" s="327"/>
      <c r="E51" s="327"/>
      <c r="F51" s="323"/>
      <c r="G51" s="323"/>
    </row>
    <row r="52" spans="1:7" s="8" customFormat="1" ht="17.25" customHeight="1">
      <c r="A52" s="346" t="s">
        <v>232</v>
      </c>
      <c r="B52" s="269" t="s">
        <v>81</v>
      </c>
      <c r="C52" s="326">
        <v>35165.5</v>
      </c>
      <c r="D52" s="155">
        <v>0</v>
      </c>
      <c r="E52" s="326">
        <v>34309.8</v>
      </c>
      <c r="F52" s="325">
        <f t="shared" si="2"/>
        <v>97.56664913053989</v>
      </c>
      <c r="G52" s="155">
        <v>0</v>
      </c>
    </row>
    <row r="53" spans="1:7" s="8" customFormat="1" ht="17.25" customHeight="1">
      <c r="A53" s="346" t="s">
        <v>185</v>
      </c>
      <c r="B53" s="269" t="s">
        <v>81</v>
      </c>
      <c r="C53" s="326">
        <v>9294.5</v>
      </c>
      <c r="D53" s="155">
        <v>0</v>
      </c>
      <c r="E53" s="326">
        <v>9696.1</v>
      </c>
      <c r="F53" s="325">
        <f t="shared" si="2"/>
        <v>104.32083490236161</v>
      </c>
      <c r="G53" s="155">
        <v>0</v>
      </c>
    </row>
    <row r="54" spans="1:7" s="8" customFormat="1" ht="17.25" customHeight="1">
      <c r="A54" s="346" t="s">
        <v>184</v>
      </c>
      <c r="B54" s="269" t="s">
        <v>81</v>
      </c>
      <c r="C54" s="326">
        <v>1589.2</v>
      </c>
      <c r="D54" s="155">
        <v>0</v>
      </c>
      <c r="E54" s="326">
        <v>1204.2</v>
      </c>
      <c r="F54" s="325">
        <f t="shared" si="2"/>
        <v>75.77397432670526</v>
      </c>
      <c r="G54" s="155">
        <v>0</v>
      </c>
    </row>
    <row r="55" spans="1:7" s="10" customFormat="1" ht="17.25" customHeight="1">
      <c r="A55" s="345" t="s">
        <v>267</v>
      </c>
      <c r="B55" s="347" t="s">
        <v>188</v>
      </c>
      <c r="C55" s="327"/>
      <c r="D55" s="327"/>
      <c r="E55" s="327"/>
      <c r="F55" s="323"/>
      <c r="G55" s="323"/>
    </row>
    <row r="56" spans="1:7" s="8" customFormat="1" ht="17.25" customHeight="1">
      <c r="A56" s="346" t="s">
        <v>186</v>
      </c>
      <c r="B56" s="269" t="s">
        <v>81</v>
      </c>
      <c r="C56" s="326">
        <v>15875.6</v>
      </c>
      <c r="D56" s="326">
        <v>15700</v>
      </c>
      <c r="E56" s="326">
        <v>15961.900000000001</v>
      </c>
      <c r="F56" s="325">
        <f>E56/C56*100</f>
        <v>100.54360150167554</v>
      </c>
      <c r="G56" s="325">
        <f>E56/D56*100</f>
        <v>101.66815286624204</v>
      </c>
    </row>
    <row r="57" spans="1:7" s="8" customFormat="1" ht="17.25" customHeight="1">
      <c r="A57" s="346" t="s">
        <v>233</v>
      </c>
      <c r="B57" s="269" t="s">
        <v>81</v>
      </c>
      <c r="C57" s="326">
        <v>1039.9</v>
      </c>
      <c r="D57" s="155">
        <v>0</v>
      </c>
      <c r="E57" s="326">
        <v>1172.8</v>
      </c>
      <c r="F57" s="325">
        <f>E57/C57*100</f>
        <v>112.7800750072122</v>
      </c>
      <c r="G57" s="155">
        <v>0</v>
      </c>
    </row>
    <row r="58" spans="1:7" s="10" customFormat="1" ht="17.25" customHeight="1">
      <c r="A58" s="345" t="s">
        <v>266</v>
      </c>
      <c r="B58" s="246" t="s">
        <v>15</v>
      </c>
      <c r="C58" s="327"/>
      <c r="D58" s="327"/>
      <c r="E58" s="327"/>
      <c r="F58" s="323"/>
      <c r="G58" s="323"/>
    </row>
    <row r="59" spans="1:7" s="8" customFormat="1" ht="17.25" customHeight="1">
      <c r="A59" s="346" t="s">
        <v>186</v>
      </c>
      <c r="B59" s="269"/>
      <c r="C59" s="326">
        <v>127913.6</v>
      </c>
      <c r="D59" s="326">
        <v>129100</v>
      </c>
      <c r="E59" s="326">
        <v>134325.09</v>
      </c>
      <c r="F59" s="325">
        <f>E59/C59*100</f>
        <v>105.01235990543616</v>
      </c>
      <c r="G59" s="325">
        <f>E59/D59*100</f>
        <v>104.0473199070488</v>
      </c>
    </row>
    <row r="60" spans="1:7" s="8" customFormat="1" ht="17.25" customHeight="1">
      <c r="A60" s="346" t="s">
        <v>233</v>
      </c>
      <c r="B60" s="269"/>
      <c r="C60" s="326">
        <v>376</v>
      </c>
      <c r="D60" s="155">
        <v>0</v>
      </c>
      <c r="E60" s="326">
        <v>417</v>
      </c>
      <c r="F60" s="325">
        <f>E60/C60*100</f>
        <v>110.90425531914893</v>
      </c>
      <c r="G60" s="155">
        <v>0</v>
      </c>
    </row>
    <row r="61" spans="1:7" s="10" customFormat="1" ht="17.25" customHeight="1">
      <c r="A61" s="345" t="s">
        <v>234</v>
      </c>
      <c r="B61" s="347" t="s">
        <v>189</v>
      </c>
      <c r="C61" s="327"/>
      <c r="D61" s="327"/>
      <c r="E61" s="327"/>
      <c r="F61" s="323"/>
      <c r="G61" s="323"/>
    </row>
    <row r="62" spans="1:7" s="8" customFormat="1" ht="17.25" customHeight="1">
      <c r="A62" s="346" t="s">
        <v>235</v>
      </c>
      <c r="B62" s="269" t="s">
        <v>81</v>
      </c>
      <c r="C62" s="326">
        <v>73486</v>
      </c>
      <c r="D62" s="326">
        <v>75000</v>
      </c>
      <c r="E62" s="326">
        <v>70938</v>
      </c>
      <c r="F62" s="325">
        <f aca="true" t="shared" si="3" ref="F62:F67">E62/C62*100</f>
        <v>96.5326728900743</v>
      </c>
      <c r="G62" s="325">
        <f>E62/D62*100</f>
        <v>94.584</v>
      </c>
    </row>
    <row r="63" spans="1:7" s="8" customFormat="1" ht="17.25" customHeight="1">
      <c r="A63" s="346" t="s">
        <v>236</v>
      </c>
      <c r="B63" s="269" t="s">
        <v>81</v>
      </c>
      <c r="C63" s="326">
        <v>91883</v>
      </c>
      <c r="D63" s="326">
        <v>98200</v>
      </c>
      <c r="E63" s="326">
        <v>91127</v>
      </c>
      <c r="F63" s="325">
        <f t="shared" si="3"/>
        <v>99.17721450105024</v>
      </c>
      <c r="G63" s="325">
        <f>E63/D63*100</f>
        <v>92.79735234215886</v>
      </c>
    </row>
    <row r="64" spans="1:7" s="8" customFormat="1" ht="17.25" customHeight="1">
      <c r="A64" s="346" t="s">
        <v>187</v>
      </c>
      <c r="B64" s="269" t="s">
        <v>81</v>
      </c>
      <c r="C64" s="326">
        <v>735022</v>
      </c>
      <c r="D64" s="326">
        <v>735000</v>
      </c>
      <c r="E64" s="326">
        <v>756039</v>
      </c>
      <c r="F64" s="325">
        <f t="shared" si="3"/>
        <v>102.85937019572202</v>
      </c>
      <c r="G64" s="325">
        <f>E64/D64*100</f>
        <v>102.86244897959185</v>
      </c>
    </row>
    <row r="65" spans="1:7" s="10" customFormat="1" ht="17.25" customHeight="1">
      <c r="A65" s="345" t="s">
        <v>237</v>
      </c>
      <c r="B65" s="246" t="s">
        <v>238</v>
      </c>
      <c r="C65" s="327">
        <v>10277.7</v>
      </c>
      <c r="D65" s="327">
        <v>10890</v>
      </c>
      <c r="E65" s="327">
        <v>11294</v>
      </c>
      <c r="F65" s="323">
        <f t="shared" si="3"/>
        <v>109.88839915545306</v>
      </c>
      <c r="G65" s="323">
        <f>E65/D65*100</f>
        <v>103.70982552800734</v>
      </c>
    </row>
    <row r="66" spans="1:7" s="10" customFormat="1" ht="17.25" customHeight="1">
      <c r="A66" s="345" t="s">
        <v>239</v>
      </c>
      <c r="B66" s="246" t="s">
        <v>15</v>
      </c>
      <c r="C66" s="327">
        <v>118274.5</v>
      </c>
      <c r="D66" s="156">
        <v>0</v>
      </c>
      <c r="E66" s="327">
        <v>126013.3</v>
      </c>
      <c r="F66" s="323">
        <f t="shared" si="3"/>
        <v>106.54308409674104</v>
      </c>
      <c r="G66" s="156">
        <v>0</v>
      </c>
    </row>
    <row r="67" spans="1:7" s="8" customFormat="1" ht="17.25" customHeight="1">
      <c r="A67" s="352" t="s">
        <v>260</v>
      </c>
      <c r="B67" s="269" t="s">
        <v>81</v>
      </c>
      <c r="C67" s="326">
        <v>84586.8</v>
      </c>
      <c r="D67" s="155">
        <v>0</v>
      </c>
      <c r="E67" s="326">
        <v>93308</v>
      </c>
      <c r="F67" s="325">
        <f t="shared" si="3"/>
        <v>110.31035575290706</v>
      </c>
      <c r="G67" s="155">
        <v>0</v>
      </c>
    </row>
    <row r="68" spans="1:7" s="8" customFormat="1" ht="17.25" customHeight="1">
      <c r="A68" s="353" t="s">
        <v>240</v>
      </c>
      <c r="B68" s="347"/>
      <c r="C68" s="326"/>
      <c r="D68" s="326"/>
      <c r="E68" s="326"/>
      <c r="F68" s="325"/>
      <c r="G68" s="325"/>
    </row>
    <row r="69" spans="1:7" s="10" customFormat="1" ht="17.25" customHeight="1">
      <c r="A69" s="345" t="s">
        <v>264</v>
      </c>
      <c r="B69" s="246" t="s">
        <v>151</v>
      </c>
      <c r="C69" s="327">
        <v>1130519</v>
      </c>
      <c r="D69" s="156">
        <v>0</v>
      </c>
      <c r="E69" s="327">
        <v>1218969</v>
      </c>
      <c r="F69" s="323">
        <f>E69/C69*100</f>
        <v>107.82384020082812</v>
      </c>
      <c r="G69" s="156">
        <v>0</v>
      </c>
    </row>
    <row r="70" spans="1:7" s="10" customFormat="1" ht="17.25" customHeight="1">
      <c r="A70" s="345" t="s">
        <v>265</v>
      </c>
      <c r="B70" s="246" t="s">
        <v>151</v>
      </c>
      <c r="C70" s="327">
        <v>880762</v>
      </c>
      <c r="D70" s="156">
        <v>0</v>
      </c>
      <c r="E70" s="327">
        <v>913216</v>
      </c>
      <c r="F70" s="323">
        <f>E70/C70*100</f>
        <v>103.68476387491741</v>
      </c>
      <c r="G70" s="156">
        <v>0</v>
      </c>
    </row>
    <row r="71" spans="1:7" s="10" customFormat="1" ht="17.25" customHeight="1">
      <c r="A71" s="345" t="s">
        <v>241</v>
      </c>
      <c r="B71" s="347" t="s">
        <v>273</v>
      </c>
      <c r="C71" s="327">
        <v>331541</v>
      </c>
      <c r="D71" s="156">
        <v>0</v>
      </c>
      <c r="E71" s="327">
        <v>346759</v>
      </c>
      <c r="F71" s="323">
        <f aca="true" t="shared" si="4" ref="F71:F88">E71/C71*100</f>
        <v>104.59008086481008</v>
      </c>
      <c r="G71" s="156">
        <v>0</v>
      </c>
    </row>
    <row r="72" spans="1:7" s="10" customFormat="1" ht="17.25" customHeight="1">
      <c r="A72" s="345" t="s">
        <v>242</v>
      </c>
      <c r="B72" s="347" t="s">
        <v>188</v>
      </c>
      <c r="C72" s="327">
        <v>6345.6</v>
      </c>
      <c r="D72" s="327">
        <v>5500</v>
      </c>
      <c r="E72" s="327">
        <v>6600.4</v>
      </c>
      <c r="F72" s="323">
        <f t="shared" si="4"/>
        <v>104.01538073625818</v>
      </c>
      <c r="G72" s="323">
        <f>E72/D72*100</f>
        <v>120.00727272727272</v>
      </c>
    </row>
    <row r="73" spans="1:7" s="10" customFormat="1" ht="17.25" customHeight="1">
      <c r="A73" s="345" t="s">
        <v>243</v>
      </c>
      <c r="B73" s="347" t="s">
        <v>188</v>
      </c>
      <c r="C73" s="327">
        <v>1100</v>
      </c>
      <c r="D73" s="327">
        <v>4700</v>
      </c>
      <c r="E73" s="327">
        <v>4670</v>
      </c>
      <c r="F73" s="323">
        <f t="shared" si="4"/>
        <v>424.5454545454545</v>
      </c>
      <c r="G73" s="323">
        <f>E73/D73*100</f>
        <v>99.36170212765958</v>
      </c>
    </row>
    <row r="74" spans="1:7" s="10" customFormat="1" ht="17.25" customHeight="1">
      <c r="A74" s="345" t="s">
        <v>244</v>
      </c>
      <c r="B74" s="347" t="s">
        <v>188</v>
      </c>
      <c r="C74" s="327">
        <v>24306.7</v>
      </c>
      <c r="D74" s="327">
        <v>16700</v>
      </c>
      <c r="E74" s="327">
        <v>19392.8</v>
      </c>
      <c r="F74" s="323">
        <f t="shared" si="4"/>
        <v>79.78376332451546</v>
      </c>
      <c r="G74" s="323">
        <f>E74/D74*100</f>
        <v>116.1245508982036</v>
      </c>
    </row>
    <row r="75" spans="1:7" s="10" customFormat="1" ht="17.25" customHeight="1">
      <c r="A75" s="345" t="s">
        <v>245</v>
      </c>
      <c r="B75" s="347" t="s">
        <v>188</v>
      </c>
      <c r="C75" s="327">
        <v>33425</v>
      </c>
      <c r="D75" s="327">
        <v>34000</v>
      </c>
      <c r="E75" s="327">
        <v>33298</v>
      </c>
      <c r="F75" s="323">
        <f t="shared" si="4"/>
        <v>99.62004487658938</v>
      </c>
      <c r="G75" s="323">
        <f>E75/D75*100</f>
        <v>97.93529411764706</v>
      </c>
    </row>
    <row r="76" spans="1:7" s="8" customFormat="1" ht="17.25" customHeight="1">
      <c r="A76" s="353" t="s">
        <v>246</v>
      </c>
      <c r="B76" s="354"/>
      <c r="C76" s="326"/>
      <c r="D76" s="326"/>
      <c r="E76" s="326"/>
      <c r="F76" s="325"/>
      <c r="G76" s="325"/>
    </row>
    <row r="77" spans="1:7" s="10" customFormat="1" ht="17.25" customHeight="1">
      <c r="A77" s="345" t="s">
        <v>262</v>
      </c>
      <c r="B77" s="246" t="s">
        <v>151</v>
      </c>
      <c r="C77" s="327">
        <v>760872</v>
      </c>
      <c r="D77" s="156">
        <v>0</v>
      </c>
      <c r="E77" s="327">
        <v>902898</v>
      </c>
      <c r="F77" s="323">
        <f t="shared" si="4"/>
        <v>118.66621455382771</v>
      </c>
      <c r="G77" s="156">
        <v>0</v>
      </c>
    </row>
    <row r="78" spans="1:7" s="10" customFormat="1" ht="17.25" customHeight="1">
      <c r="A78" s="345" t="s">
        <v>263</v>
      </c>
      <c r="B78" s="246" t="s">
        <v>151</v>
      </c>
      <c r="C78" s="327">
        <v>671526</v>
      </c>
      <c r="D78" s="156">
        <v>0</v>
      </c>
      <c r="E78" s="327">
        <v>764020</v>
      </c>
      <c r="F78" s="323">
        <f t="shared" si="4"/>
        <v>113.77370347536804</v>
      </c>
      <c r="G78" s="156">
        <v>0</v>
      </c>
    </row>
    <row r="79" spans="1:7" s="10" customFormat="1" ht="17.25" customHeight="1">
      <c r="A79" s="345" t="s">
        <v>247</v>
      </c>
      <c r="B79" s="246" t="s">
        <v>188</v>
      </c>
      <c r="C79" s="327">
        <v>9745.9</v>
      </c>
      <c r="D79" s="327">
        <v>9900</v>
      </c>
      <c r="E79" s="327">
        <v>9846.7</v>
      </c>
      <c r="F79" s="323">
        <f t="shared" si="4"/>
        <v>101.03428108230128</v>
      </c>
      <c r="G79" s="323">
        <f>E79/D79*100</f>
        <v>99.46161616161618</v>
      </c>
    </row>
    <row r="80" spans="1:7" s="10" customFormat="1" ht="17.25" customHeight="1">
      <c r="A80" s="345" t="s">
        <v>248</v>
      </c>
      <c r="B80" s="246" t="s">
        <v>15</v>
      </c>
      <c r="C80" s="327">
        <f>C81+C85</f>
        <v>22971.399999999998</v>
      </c>
      <c r="D80" s="156">
        <v>0</v>
      </c>
      <c r="E80" s="327">
        <f>E81+E85</f>
        <v>25873.2</v>
      </c>
      <c r="F80" s="323">
        <f t="shared" si="4"/>
        <v>112.63222964207668</v>
      </c>
      <c r="G80" s="156">
        <v>0</v>
      </c>
    </row>
    <row r="81" spans="1:7" s="8" customFormat="1" ht="16.5" customHeight="1">
      <c r="A81" s="53" t="s">
        <v>249</v>
      </c>
      <c r="B81" s="269" t="s">
        <v>81</v>
      </c>
      <c r="C81" s="326">
        <v>753.8</v>
      </c>
      <c r="D81" s="326">
        <v>26400</v>
      </c>
      <c r="E81" s="326">
        <v>744</v>
      </c>
      <c r="F81" s="325">
        <f t="shared" si="4"/>
        <v>98.69992040329</v>
      </c>
      <c r="G81" s="323">
        <f>E81/D81*100</f>
        <v>2.8181818181818183</v>
      </c>
    </row>
    <row r="82" spans="1:7" s="8" customFormat="1" ht="16.5" customHeight="1">
      <c r="A82" s="346" t="s">
        <v>250</v>
      </c>
      <c r="B82" s="269" t="s">
        <v>81</v>
      </c>
      <c r="C82" s="326">
        <v>489</v>
      </c>
      <c r="D82" s="155">
        <v>0</v>
      </c>
      <c r="E82" s="326">
        <v>492</v>
      </c>
      <c r="F82" s="325">
        <f t="shared" si="4"/>
        <v>100.61349693251533</v>
      </c>
      <c r="G82" s="155">
        <v>0</v>
      </c>
    </row>
    <row r="83" spans="1:7" s="8" customFormat="1" ht="16.5" customHeight="1">
      <c r="A83" s="346" t="s">
        <v>251</v>
      </c>
      <c r="B83" s="269" t="s">
        <v>81</v>
      </c>
      <c r="C83" s="326">
        <v>44</v>
      </c>
      <c r="D83" s="155">
        <v>0</v>
      </c>
      <c r="E83" s="326">
        <v>45</v>
      </c>
      <c r="F83" s="325">
        <f t="shared" si="4"/>
        <v>102.27272727272727</v>
      </c>
      <c r="G83" s="155">
        <v>0</v>
      </c>
    </row>
    <row r="84" spans="1:7" s="8" customFormat="1" ht="16.5" customHeight="1">
      <c r="A84" s="346" t="s">
        <v>252</v>
      </c>
      <c r="B84" s="269" t="s">
        <v>81</v>
      </c>
      <c r="C84" s="326">
        <v>220.8</v>
      </c>
      <c r="D84" s="155">
        <v>0</v>
      </c>
      <c r="E84" s="326">
        <v>207</v>
      </c>
      <c r="F84" s="325">
        <f t="shared" si="4"/>
        <v>93.75</v>
      </c>
      <c r="G84" s="155">
        <v>0</v>
      </c>
    </row>
    <row r="85" spans="1:7" s="8" customFormat="1" ht="16.5" customHeight="1">
      <c r="A85" s="53" t="s">
        <v>253</v>
      </c>
      <c r="B85" s="269" t="s">
        <v>81</v>
      </c>
      <c r="C85" s="326">
        <v>22217.6</v>
      </c>
      <c r="D85" s="155">
        <v>0</v>
      </c>
      <c r="E85" s="326">
        <v>25129.2</v>
      </c>
      <c r="F85" s="325">
        <f t="shared" si="4"/>
        <v>113.10492582457152</v>
      </c>
      <c r="G85" s="155">
        <v>0</v>
      </c>
    </row>
    <row r="86" spans="1:7" s="8" customFormat="1" ht="16.5" customHeight="1">
      <c r="A86" s="346" t="s">
        <v>250</v>
      </c>
      <c r="B86" s="269" t="s">
        <v>81</v>
      </c>
      <c r="C86" s="326">
        <v>20771</v>
      </c>
      <c r="D86" s="155">
        <v>0</v>
      </c>
      <c r="E86" s="326">
        <v>23715.2</v>
      </c>
      <c r="F86" s="325">
        <f t="shared" si="4"/>
        <v>114.17457031438063</v>
      </c>
      <c r="G86" s="155">
        <v>0</v>
      </c>
    </row>
    <row r="87" spans="1:7" s="8" customFormat="1" ht="16.5" customHeight="1">
      <c r="A87" s="346" t="s">
        <v>251</v>
      </c>
      <c r="B87" s="269" t="s">
        <v>81</v>
      </c>
      <c r="C87" s="326">
        <v>166.3</v>
      </c>
      <c r="D87" s="155">
        <v>0</v>
      </c>
      <c r="E87" s="326">
        <v>169</v>
      </c>
      <c r="F87" s="325">
        <f t="shared" si="4"/>
        <v>101.62357185808779</v>
      </c>
      <c r="G87" s="155">
        <v>0</v>
      </c>
    </row>
    <row r="88" spans="1:7" s="8" customFormat="1" ht="16.5" customHeight="1">
      <c r="A88" s="349" t="s">
        <v>252</v>
      </c>
      <c r="B88" s="271" t="s">
        <v>81</v>
      </c>
      <c r="C88" s="328">
        <v>1280.3</v>
      </c>
      <c r="D88" s="36">
        <v>0</v>
      </c>
      <c r="E88" s="328">
        <v>1245</v>
      </c>
      <c r="F88" s="329">
        <f t="shared" si="4"/>
        <v>97.24283371084901</v>
      </c>
      <c r="G88" s="36">
        <v>0</v>
      </c>
    </row>
  </sheetData>
  <sheetProtection/>
  <mergeCells count="5">
    <mergeCell ref="F4:G4"/>
    <mergeCell ref="A4:A5"/>
    <mergeCell ref="B4:B5"/>
    <mergeCell ref="C4:C5"/>
    <mergeCell ref="D4:E4"/>
  </mergeCells>
  <printOptions/>
  <pageMargins left="0.7" right="0.3" top="0.6" bottom="0.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38"/>
  <sheetViews>
    <sheetView zoomScalePageLayoutView="0" workbookViewId="0" topLeftCell="A1">
      <pane xSplit="1" ySplit="5" topLeftCell="B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E27" sqref="E27"/>
    </sheetView>
  </sheetViews>
  <sheetFormatPr defaultColWidth="9.00390625" defaultRowHeight="15.75"/>
  <cols>
    <col min="1" max="1" width="46.50390625" style="8" customWidth="1"/>
    <col min="2" max="2" width="9.375" style="8" customWidth="1"/>
    <col min="3" max="3" width="9.375" style="7" customWidth="1"/>
    <col min="4" max="5" width="9.375" style="8" customWidth="1"/>
    <col min="6" max="6" width="10.375" style="8" bestFit="1" customWidth="1"/>
    <col min="7" max="16384" width="9.00390625" style="8" customWidth="1"/>
  </cols>
  <sheetData>
    <row r="1" ht="21" customHeight="1">
      <c r="A1" s="3" t="s">
        <v>170</v>
      </c>
    </row>
    <row r="2" spans="1:4" ht="21" customHeight="1">
      <c r="A2" s="194" t="s">
        <v>276</v>
      </c>
      <c r="B2" s="195"/>
      <c r="C2" s="195"/>
      <c r="D2" s="195"/>
    </row>
    <row r="3" spans="4:6" ht="15">
      <c r="D3" s="108"/>
      <c r="E3" s="143" t="s">
        <v>109</v>
      </c>
      <c r="F3" s="95"/>
    </row>
    <row r="4" spans="1:5" ht="34.5" customHeight="1">
      <c r="A4" s="365" t="s">
        <v>0</v>
      </c>
      <c r="B4" s="368" t="s">
        <v>277</v>
      </c>
      <c r="C4" s="366" t="s">
        <v>278</v>
      </c>
      <c r="D4" s="367"/>
      <c r="E4" s="363" t="s">
        <v>279</v>
      </c>
    </row>
    <row r="5" spans="1:5" ht="73.5" customHeight="1">
      <c r="A5" s="365"/>
      <c r="B5" s="369"/>
      <c r="C5" s="27" t="s">
        <v>93</v>
      </c>
      <c r="D5" s="106" t="s">
        <v>92</v>
      </c>
      <c r="E5" s="364"/>
    </row>
    <row r="6" spans="1:6" s="10" customFormat="1" ht="29.25" customHeight="1">
      <c r="A6" s="160" t="s">
        <v>94</v>
      </c>
      <c r="B6" s="124">
        <v>106.2</v>
      </c>
      <c r="C6" s="124">
        <v>103.69</v>
      </c>
      <c r="D6" s="124">
        <v>104.7</v>
      </c>
      <c r="E6" s="124">
        <v>106.02</v>
      </c>
      <c r="F6" s="157"/>
    </row>
    <row r="7" spans="1:6" s="10" customFormat="1" ht="20.25" customHeight="1">
      <c r="A7" s="159" t="s">
        <v>119</v>
      </c>
      <c r="B7" s="114">
        <v>111.95</v>
      </c>
      <c r="C7" s="114">
        <v>104.01</v>
      </c>
      <c r="D7" s="114">
        <v>107.27</v>
      </c>
      <c r="E7" s="114">
        <v>106.42</v>
      </c>
      <c r="F7" s="157"/>
    </row>
    <row r="8" spans="1:5" ht="20.25" customHeight="1">
      <c r="A8" s="158" t="s">
        <v>120</v>
      </c>
      <c r="B8" s="125">
        <v>75</v>
      </c>
      <c r="C8" s="125">
        <v>133.33</v>
      </c>
      <c r="D8" s="125">
        <v>133.33</v>
      </c>
      <c r="E8" s="125">
        <v>54.91</v>
      </c>
    </row>
    <row r="9" spans="1:5" ht="20.25" customHeight="1">
      <c r="A9" s="158" t="s">
        <v>121</v>
      </c>
      <c r="B9" s="125">
        <v>116.22</v>
      </c>
      <c r="C9" s="125">
        <v>101.82</v>
      </c>
      <c r="D9" s="125">
        <v>105.26</v>
      </c>
      <c r="E9" s="125">
        <v>116.11</v>
      </c>
    </row>
    <row r="10" spans="1:6" s="10" customFormat="1" ht="20.25" customHeight="1">
      <c r="A10" s="159" t="s">
        <v>122</v>
      </c>
      <c r="B10" s="67">
        <v>105.64</v>
      </c>
      <c r="C10" s="67">
        <v>104.04</v>
      </c>
      <c r="D10" s="67">
        <v>104.28</v>
      </c>
      <c r="E10" s="67">
        <v>105.77</v>
      </c>
      <c r="F10" s="157"/>
    </row>
    <row r="11" spans="1:5" ht="20.25" customHeight="1">
      <c r="A11" s="158" t="s">
        <v>123</v>
      </c>
      <c r="B11" s="125">
        <v>94.03</v>
      </c>
      <c r="C11" s="125">
        <v>87.34</v>
      </c>
      <c r="D11" s="125">
        <v>89.11</v>
      </c>
      <c r="E11" s="125">
        <v>95.21</v>
      </c>
    </row>
    <row r="12" spans="1:5" ht="20.25" customHeight="1">
      <c r="A12" s="158" t="s">
        <v>124</v>
      </c>
      <c r="B12" s="6">
        <v>111.22</v>
      </c>
      <c r="C12" s="6">
        <v>94.97</v>
      </c>
      <c r="D12" s="6">
        <v>103.01</v>
      </c>
      <c r="E12" s="6">
        <v>104.11</v>
      </c>
    </row>
    <row r="13" spans="1:5" ht="20.25" customHeight="1">
      <c r="A13" s="158" t="s">
        <v>125</v>
      </c>
      <c r="B13" s="6">
        <v>103.38</v>
      </c>
      <c r="C13" s="6">
        <v>110.16</v>
      </c>
      <c r="D13" s="6">
        <v>122.27</v>
      </c>
      <c r="E13" s="6">
        <v>116.48</v>
      </c>
    </row>
    <row r="14" spans="1:5" ht="20.25" customHeight="1">
      <c r="A14" s="158" t="s">
        <v>126</v>
      </c>
      <c r="B14" s="6">
        <v>84.19</v>
      </c>
      <c r="C14" s="6">
        <v>124.62</v>
      </c>
      <c r="D14" s="6">
        <v>97.44</v>
      </c>
      <c r="E14" s="6">
        <v>106.93</v>
      </c>
    </row>
    <row r="15" spans="1:5" ht="20.25" customHeight="1">
      <c r="A15" s="158" t="s">
        <v>127</v>
      </c>
      <c r="B15" s="155">
        <v>101.53</v>
      </c>
      <c r="C15" s="155">
        <v>53.75</v>
      </c>
      <c r="D15" s="155">
        <v>70.76</v>
      </c>
      <c r="E15" s="155">
        <v>109.82</v>
      </c>
    </row>
    <row r="16" spans="1:5" ht="20.25" customHeight="1">
      <c r="A16" s="158" t="s">
        <v>128</v>
      </c>
      <c r="B16" s="155">
        <v>131.94</v>
      </c>
      <c r="C16" s="155">
        <v>102.49</v>
      </c>
      <c r="D16" s="155">
        <v>131.2</v>
      </c>
      <c r="E16" s="155">
        <v>109.28</v>
      </c>
    </row>
    <row r="17" spans="1:5" ht="20.25" customHeight="1">
      <c r="A17" s="158" t="s">
        <v>129</v>
      </c>
      <c r="B17" s="155">
        <v>110.14</v>
      </c>
      <c r="C17" s="155">
        <v>94.38</v>
      </c>
      <c r="D17" s="155">
        <v>106.79</v>
      </c>
      <c r="E17" s="155">
        <v>100.92</v>
      </c>
    </row>
    <row r="18" spans="1:5" ht="20.25" customHeight="1">
      <c r="A18" s="158" t="s">
        <v>130</v>
      </c>
      <c r="B18" s="155">
        <v>108.23</v>
      </c>
      <c r="C18" s="155">
        <v>105.54</v>
      </c>
      <c r="D18" s="155">
        <v>121.8</v>
      </c>
      <c r="E18" s="155">
        <v>108.45</v>
      </c>
    </row>
    <row r="19" spans="1:5" ht="20.25" customHeight="1">
      <c r="A19" s="158" t="s">
        <v>131</v>
      </c>
      <c r="B19" s="155">
        <v>97.51</v>
      </c>
      <c r="C19" s="155">
        <v>112.29</v>
      </c>
      <c r="D19" s="155">
        <v>105.38</v>
      </c>
      <c r="E19" s="155">
        <v>113.25</v>
      </c>
    </row>
    <row r="20" spans="1:5" ht="20.25" customHeight="1">
      <c r="A20" s="158" t="s">
        <v>132</v>
      </c>
      <c r="B20" s="155">
        <v>0</v>
      </c>
      <c r="C20" s="155">
        <v>0</v>
      </c>
      <c r="D20" s="155">
        <v>0</v>
      </c>
      <c r="E20" s="155">
        <v>0</v>
      </c>
    </row>
    <row r="21" spans="1:5" ht="20.25" customHeight="1">
      <c r="A21" s="158" t="s">
        <v>133</v>
      </c>
      <c r="B21" s="155">
        <v>112.21</v>
      </c>
      <c r="C21" s="155">
        <v>105.95</v>
      </c>
      <c r="D21" s="155">
        <v>50.17</v>
      </c>
      <c r="E21" s="155">
        <v>90.82</v>
      </c>
    </row>
    <row r="22" spans="1:5" ht="20.25" customHeight="1">
      <c r="A22" s="158" t="s">
        <v>134</v>
      </c>
      <c r="B22" s="155">
        <v>147.72</v>
      </c>
      <c r="C22" s="155">
        <v>115.12</v>
      </c>
      <c r="D22" s="155">
        <v>182.07</v>
      </c>
      <c r="E22" s="155">
        <v>131.74</v>
      </c>
    </row>
    <row r="23" spans="1:5" ht="20.25" customHeight="1">
      <c r="A23" s="158" t="s">
        <v>135</v>
      </c>
      <c r="B23" s="155">
        <v>0</v>
      </c>
      <c r="C23" s="155">
        <v>0</v>
      </c>
      <c r="D23" s="155">
        <v>0</v>
      </c>
      <c r="E23" s="155">
        <v>0</v>
      </c>
    </row>
    <row r="24" spans="1:5" s="10" customFormat="1" ht="20.25" customHeight="1">
      <c r="A24" s="159" t="s">
        <v>136</v>
      </c>
      <c r="B24" s="156">
        <v>111.33</v>
      </c>
      <c r="C24" s="156">
        <v>89.65</v>
      </c>
      <c r="D24" s="156">
        <v>102.55</v>
      </c>
      <c r="E24" s="156">
        <v>111.6</v>
      </c>
    </row>
    <row r="25" spans="1:5" ht="20.25" customHeight="1">
      <c r="A25" s="158" t="s">
        <v>137</v>
      </c>
      <c r="B25" s="155">
        <v>111.33</v>
      </c>
      <c r="C25" s="155">
        <v>89.65</v>
      </c>
      <c r="D25" s="155">
        <v>102.55</v>
      </c>
      <c r="E25" s="155">
        <v>111.6</v>
      </c>
    </row>
    <row r="26" spans="1:5" s="10" customFormat="1" ht="20.25" customHeight="1">
      <c r="A26" s="159" t="s">
        <v>138</v>
      </c>
      <c r="B26" s="156">
        <v>106.34</v>
      </c>
      <c r="C26" s="156">
        <v>106.65</v>
      </c>
      <c r="D26" s="156">
        <v>121.86</v>
      </c>
      <c r="E26" s="156">
        <v>108.99</v>
      </c>
    </row>
    <row r="27" spans="1:5" ht="20.25" customHeight="1">
      <c r="A27" s="158" t="s">
        <v>139</v>
      </c>
      <c r="B27" s="155">
        <v>106.34</v>
      </c>
      <c r="C27" s="155">
        <v>106.65</v>
      </c>
      <c r="D27" s="155">
        <v>121.86</v>
      </c>
      <c r="E27" s="155">
        <v>108.99</v>
      </c>
    </row>
    <row r="28" spans="1:5" ht="25.5" customHeight="1">
      <c r="A28" s="16"/>
      <c r="B28" s="36"/>
      <c r="C28" s="36"/>
      <c r="D28" s="36"/>
      <c r="E28" s="36"/>
    </row>
    <row r="29" spans="1:5" ht="13.5" customHeight="1">
      <c r="A29" s="122"/>
      <c r="B29" s="66"/>
      <c r="C29" s="66"/>
      <c r="D29" s="66"/>
      <c r="E29" s="66"/>
    </row>
    <row r="30" spans="1:4" ht="15">
      <c r="A30" s="123"/>
      <c r="B30" s="107"/>
      <c r="C30" s="107"/>
      <c r="D30" s="66"/>
    </row>
    <row r="36" spans="2:5" ht="15.75">
      <c r="B36" s="68"/>
      <c r="C36" s="68"/>
      <c r="D36" s="68"/>
      <c r="E36" s="68"/>
    </row>
    <row r="37" spans="2:5" ht="15.75">
      <c r="B37" s="68"/>
      <c r="C37" s="68"/>
      <c r="D37" s="68"/>
      <c r="E37" s="68"/>
    </row>
    <row r="38" spans="2:5" ht="15.75">
      <c r="B38" s="68"/>
      <c r="C38" s="68"/>
      <c r="D38" s="68"/>
      <c r="E38" s="68"/>
    </row>
  </sheetData>
  <sheetProtection/>
  <mergeCells count="4">
    <mergeCell ref="E4:E5"/>
    <mergeCell ref="A4:A5"/>
    <mergeCell ref="C4:D4"/>
    <mergeCell ref="B4:B5"/>
  </mergeCells>
  <printOptions/>
  <pageMargins left="0.7" right="0.3" top="0.6" bottom="0.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00390625" defaultRowHeight="15.75"/>
  <cols>
    <col min="1" max="1" width="29.00390625" style="8" customWidth="1"/>
    <col min="2" max="2" width="8.25390625" style="22" customWidth="1"/>
    <col min="3" max="7" width="9.25390625" style="8" customWidth="1"/>
    <col min="8" max="8" width="0" style="8" hidden="1" customWidth="1"/>
    <col min="9" max="9" width="9.625" style="8" bestFit="1" customWidth="1"/>
    <col min="10" max="16384" width="9.00390625" style="8" customWidth="1"/>
  </cols>
  <sheetData>
    <row r="1" ht="25.5" customHeight="1">
      <c r="A1" s="135" t="s">
        <v>280</v>
      </c>
    </row>
    <row r="2" ht="15">
      <c r="G2" s="108"/>
    </row>
    <row r="3" spans="1:8" ht="34.5" customHeight="1">
      <c r="A3" s="370" t="s">
        <v>0</v>
      </c>
      <c r="B3" s="370" t="s">
        <v>16</v>
      </c>
      <c r="C3" s="372" t="s">
        <v>111</v>
      </c>
      <c r="D3" s="366"/>
      <c r="E3" s="367"/>
      <c r="F3" s="373" t="s">
        <v>17</v>
      </c>
      <c r="G3" s="367"/>
      <c r="H3" s="8" t="s">
        <v>400</v>
      </c>
    </row>
    <row r="4" spans="1:7" ht="64.5" customHeight="1">
      <c r="A4" s="371"/>
      <c r="B4" s="371"/>
      <c r="C4" s="121" t="s">
        <v>281</v>
      </c>
      <c r="D4" s="26" t="s">
        <v>282</v>
      </c>
      <c r="E4" s="26" t="s">
        <v>283</v>
      </c>
      <c r="F4" s="26" t="s">
        <v>86</v>
      </c>
      <c r="G4" s="27" t="s">
        <v>172</v>
      </c>
    </row>
    <row r="5" spans="1:12" ht="27" customHeight="1">
      <c r="A5" s="11" t="s">
        <v>155</v>
      </c>
      <c r="B5" s="92" t="s">
        <v>15</v>
      </c>
      <c r="C5" s="12">
        <v>16544</v>
      </c>
      <c r="D5" s="12">
        <v>16955</v>
      </c>
      <c r="E5" s="12">
        <v>212000</v>
      </c>
      <c r="F5" s="18">
        <f aca="true" t="shared" si="0" ref="F5:F20">D5/C5*100</f>
        <v>102.48428433268859</v>
      </c>
      <c r="G5" s="18">
        <f aca="true" t="shared" si="1" ref="G5:G20">E5/H5*100</f>
        <v>106.53266331658291</v>
      </c>
      <c r="H5" s="52">
        <v>199000</v>
      </c>
      <c r="I5" s="201"/>
      <c r="J5" s="64"/>
      <c r="K5" s="64"/>
      <c r="L5" s="64"/>
    </row>
    <row r="6" spans="1:12" ht="27" customHeight="1">
      <c r="A6" s="11" t="s">
        <v>156</v>
      </c>
      <c r="B6" s="92" t="s">
        <v>112</v>
      </c>
      <c r="C6" s="12">
        <f>1075+2105+5587</f>
        <v>8767</v>
      </c>
      <c r="D6" s="12">
        <f>488+1230+5900</f>
        <v>7618</v>
      </c>
      <c r="E6" s="12">
        <v>110500</v>
      </c>
      <c r="F6" s="18">
        <f t="shared" si="0"/>
        <v>86.89403444735942</v>
      </c>
      <c r="G6" s="18">
        <f t="shared" si="1"/>
        <v>101.44594904750977</v>
      </c>
      <c r="H6" s="52">
        <v>108925</v>
      </c>
      <c r="I6" s="201"/>
      <c r="J6" s="64"/>
      <c r="K6" s="64"/>
      <c r="L6" s="64"/>
    </row>
    <row r="7" spans="1:12" ht="27" customHeight="1">
      <c r="A7" s="11" t="s">
        <v>157</v>
      </c>
      <c r="B7" s="92" t="s">
        <v>15</v>
      </c>
      <c r="C7" s="12">
        <v>3601</v>
      </c>
      <c r="D7" s="12">
        <v>2288</v>
      </c>
      <c r="E7" s="12">
        <v>56500</v>
      </c>
      <c r="F7" s="18">
        <f t="shared" si="0"/>
        <v>63.537906137184116</v>
      </c>
      <c r="G7" s="18">
        <f t="shared" si="1"/>
        <v>94.78275457138065</v>
      </c>
      <c r="H7" s="52">
        <v>59610</v>
      </c>
      <c r="I7" s="201"/>
      <c r="J7" s="64"/>
      <c r="K7" s="64"/>
      <c r="L7" s="64"/>
    </row>
    <row r="8" spans="1:12" ht="27" customHeight="1">
      <c r="A8" s="11" t="s">
        <v>158</v>
      </c>
      <c r="B8" s="92" t="s">
        <v>15</v>
      </c>
      <c r="C8" s="12">
        <f>68000+67235</f>
        <v>135235</v>
      </c>
      <c r="D8" s="12">
        <f>65000+63000</f>
        <v>128000</v>
      </c>
      <c r="E8" s="12">
        <v>1551928</v>
      </c>
      <c r="F8" s="18">
        <f t="shared" si="0"/>
        <v>94.65005361038192</v>
      </c>
      <c r="G8" s="18">
        <f t="shared" si="1"/>
        <v>100.93394243376552</v>
      </c>
      <c r="H8" s="52">
        <f>808500+729068</f>
        <v>1537568</v>
      </c>
      <c r="I8" s="201"/>
      <c r="J8" s="64"/>
      <c r="K8" s="64"/>
      <c r="L8" s="64"/>
    </row>
    <row r="9" spans="1:12" s="20" customFormat="1" ht="27" customHeight="1">
      <c r="A9" s="197" t="s">
        <v>154</v>
      </c>
      <c r="B9" s="198" t="s">
        <v>15</v>
      </c>
      <c r="C9" s="199">
        <v>67235</v>
      </c>
      <c r="D9" s="199">
        <v>63000</v>
      </c>
      <c r="E9" s="199">
        <v>735528</v>
      </c>
      <c r="F9" s="200">
        <f t="shared" si="0"/>
        <v>93.70119729307652</v>
      </c>
      <c r="G9" s="200">
        <f t="shared" si="1"/>
        <v>100.88606275409153</v>
      </c>
      <c r="H9" s="147">
        <v>729068</v>
      </c>
      <c r="I9" s="202"/>
      <c r="J9" s="203"/>
      <c r="K9" s="203"/>
      <c r="L9" s="203"/>
    </row>
    <row r="10" spans="1:12" ht="27" customHeight="1">
      <c r="A10" s="11" t="s">
        <v>159</v>
      </c>
      <c r="B10" s="92" t="s">
        <v>15</v>
      </c>
      <c r="C10" s="12">
        <v>28446</v>
      </c>
      <c r="D10" s="12">
        <v>28412</v>
      </c>
      <c r="E10" s="12">
        <v>500000</v>
      </c>
      <c r="F10" s="18">
        <f t="shared" si="0"/>
        <v>99.88047528650776</v>
      </c>
      <c r="G10" s="18">
        <f t="shared" si="1"/>
        <v>111.23594255775926</v>
      </c>
      <c r="H10" s="52">
        <v>449495</v>
      </c>
      <c r="I10" s="201"/>
      <c r="J10" s="64"/>
      <c r="K10" s="64"/>
      <c r="L10" s="64"/>
    </row>
    <row r="11" spans="1:12" s="20" customFormat="1" ht="27" customHeight="1">
      <c r="A11" s="11" t="s">
        <v>160</v>
      </c>
      <c r="B11" s="92" t="s">
        <v>15</v>
      </c>
      <c r="C11" s="12">
        <v>92773</v>
      </c>
      <c r="D11" s="12">
        <v>107000</v>
      </c>
      <c r="E11" s="12">
        <v>950000</v>
      </c>
      <c r="F11" s="18">
        <f t="shared" si="0"/>
        <v>115.33528073900811</v>
      </c>
      <c r="G11" s="18">
        <f t="shared" si="1"/>
        <v>97.13701431492842</v>
      </c>
      <c r="H11" s="147">
        <v>978000</v>
      </c>
      <c r="I11" s="202"/>
      <c r="J11" s="203"/>
      <c r="K11" s="203"/>
      <c r="L11" s="203"/>
    </row>
    <row r="12" spans="1:12" s="20" customFormat="1" ht="27" customHeight="1">
      <c r="A12" s="11" t="s">
        <v>161</v>
      </c>
      <c r="B12" s="92" t="s">
        <v>116</v>
      </c>
      <c r="C12" s="12">
        <v>33455</v>
      </c>
      <c r="D12" s="12">
        <v>33728</v>
      </c>
      <c r="E12" s="12">
        <v>510000</v>
      </c>
      <c r="F12" s="18">
        <f t="shared" si="0"/>
        <v>100.81602152144673</v>
      </c>
      <c r="G12" s="18">
        <f t="shared" si="1"/>
        <v>100.99009900990099</v>
      </c>
      <c r="H12" s="147">
        <v>505000</v>
      </c>
      <c r="I12" s="202"/>
      <c r="J12" s="203"/>
      <c r="K12" s="203"/>
      <c r="L12" s="203"/>
    </row>
    <row r="13" spans="1:12" ht="27" customHeight="1">
      <c r="A13" s="11" t="s">
        <v>162</v>
      </c>
      <c r="B13" s="92" t="s">
        <v>113</v>
      </c>
      <c r="C13" s="12">
        <v>963</v>
      </c>
      <c r="D13" s="12">
        <v>1078</v>
      </c>
      <c r="E13" s="12">
        <v>12500</v>
      </c>
      <c r="F13" s="18">
        <f t="shared" si="0"/>
        <v>111.94184839044652</v>
      </c>
      <c r="G13" s="18">
        <f t="shared" si="1"/>
        <v>141.03576667042762</v>
      </c>
      <c r="H13" s="52">
        <v>8863</v>
      </c>
      <c r="I13" s="201"/>
      <c r="J13" s="64"/>
      <c r="K13" s="64"/>
      <c r="L13" s="64"/>
    </row>
    <row r="14" spans="1:12" ht="27" customHeight="1">
      <c r="A14" s="11" t="s">
        <v>163</v>
      </c>
      <c r="B14" s="92" t="s">
        <v>15</v>
      </c>
      <c r="C14" s="12">
        <v>2005</v>
      </c>
      <c r="D14" s="12">
        <v>2200</v>
      </c>
      <c r="E14" s="12">
        <v>25006</v>
      </c>
      <c r="F14" s="18">
        <f t="shared" si="0"/>
        <v>109.72568578553617</v>
      </c>
      <c r="G14" s="18">
        <f t="shared" si="1"/>
        <v>105.28842105263159</v>
      </c>
      <c r="H14" s="52">
        <v>23750</v>
      </c>
      <c r="I14" s="201"/>
      <c r="J14" s="64"/>
      <c r="K14" s="64"/>
      <c r="L14" s="64"/>
    </row>
    <row r="15" spans="1:12" ht="27" customHeight="1">
      <c r="A15" s="11" t="s">
        <v>164</v>
      </c>
      <c r="B15" s="92" t="s">
        <v>401</v>
      </c>
      <c r="C15" s="12">
        <v>6</v>
      </c>
      <c r="D15" s="12">
        <v>7</v>
      </c>
      <c r="E15" s="12">
        <v>53</v>
      </c>
      <c r="F15" s="18">
        <f t="shared" si="0"/>
        <v>116.66666666666667</v>
      </c>
      <c r="G15" s="18">
        <f t="shared" si="1"/>
        <v>132.5</v>
      </c>
      <c r="H15" s="52">
        <v>40</v>
      </c>
      <c r="I15" s="201"/>
      <c r="J15" s="64"/>
      <c r="K15" s="64"/>
      <c r="L15" s="64"/>
    </row>
    <row r="16" spans="1:12" ht="27" customHeight="1">
      <c r="A16" s="11" t="s">
        <v>165</v>
      </c>
      <c r="B16" s="92" t="s">
        <v>113</v>
      </c>
      <c r="C16" s="12">
        <f>3919+610</f>
        <v>4529</v>
      </c>
      <c r="D16" s="12">
        <f>4259+650</f>
        <v>4909</v>
      </c>
      <c r="E16" s="12">
        <v>75000</v>
      </c>
      <c r="F16" s="18">
        <f t="shared" si="0"/>
        <v>108.39037315080591</v>
      </c>
      <c r="G16" s="18">
        <f t="shared" si="1"/>
        <v>118.49651620242365</v>
      </c>
      <c r="H16" s="52">
        <v>63293</v>
      </c>
      <c r="I16" s="201"/>
      <c r="J16" s="64"/>
      <c r="K16" s="64"/>
      <c r="L16" s="64"/>
    </row>
    <row r="17" spans="1:12" ht="27" customHeight="1">
      <c r="A17" s="11" t="s">
        <v>166</v>
      </c>
      <c r="B17" s="92" t="s">
        <v>15</v>
      </c>
      <c r="C17" s="12">
        <f>352+312</f>
        <v>664</v>
      </c>
      <c r="D17" s="12">
        <f>421+320</f>
        <v>741</v>
      </c>
      <c r="E17" s="12">
        <v>7500</v>
      </c>
      <c r="F17" s="18">
        <f t="shared" si="0"/>
        <v>111.59638554216869</v>
      </c>
      <c r="G17" s="18">
        <f t="shared" si="1"/>
        <v>120.65637065637065</v>
      </c>
      <c r="H17" s="52">
        <v>6216</v>
      </c>
      <c r="I17" s="201"/>
      <c r="J17" s="64"/>
      <c r="K17" s="64"/>
      <c r="L17" s="64"/>
    </row>
    <row r="18" spans="1:12" s="20" customFormat="1" ht="27" customHeight="1">
      <c r="A18" s="11" t="s">
        <v>167</v>
      </c>
      <c r="B18" s="92" t="s">
        <v>114</v>
      </c>
      <c r="C18" s="12">
        <f>1980+1078+852</f>
        <v>3910</v>
      </c>
      <c r="D18" s="12">
        <f>2245+1509+1237</f>
        <v>4991</v>
      </c>
      <c r="E18" s="12">
        <v>74000</v>
      </c>
      <c r="F18" s="18">
        <f t="shared" si="0"/>
        <v>127.6470588235294</v>
      </c>
      <c r="G18" s="18">
        <f t="shared" si="1"/>
        <v>108.55374143672343</v>
      </c>
      <c r="H18" s="147">
        <v>68169</v>
      </c>
      <c r="I18" s="202"/>
      <c r="J18" s="203"/>
      <c r="K18" s="203"/>
      <c r="L18" s="203"/>
    </row>
    <row r="19" spans="1:12" ht="27" customHeight="1">
      <c r="A19" s="11" t="s">
        <v>168</v>
      </c>
      <c r="B19" s="92" t="s">
        <v>115</v>
      </c>
      <c r="C19" s="12">
        <v>74</v>
      </c>
      <c r="D19" s="12">
        <v>40</v>
      </c>
      <c r="E19" s="12">
        <v>700</v>
      </c>
      <c r="F19" s="18">
        <f t="shared" si="0"/>
        <v>54.054054054054056</v>
      </c>
      <c r="G19" s="18">
        <f t="shared" si="1"/>
        <v>126.3537906137184</v>
      </c>
      <c r="H19" s="52">
        <v>554</v>
      </c>
      <c r="I19" s="201"/>
      <c r="J19" s="64"/>
      <c r="K19" s="64"/>
      <c r="L19" s="64"/>
    </row>
    <row r="20" spans="1:12" s="20" customFormat="1" ht="27" customHeight="1">
      <c r="A20" s="96" t="s">
        <v>169</v>
      </c>
      <c r="B20" s="97" t="s">
        <v>117</v>
      </c>
      <c r="C20" s="69">
        <v>1638</v>
      </c>
      <c r="D20" s="69">
        <v>1747</v>
      </c>
      <c r="E20" s="69">
        <v>19000</v>
      </c>
      <c r="F20" s="21">
        <f t="shared" si="0"/>
        <v>106.65445665445665</v>
      </c>
      <c r="G20" s="21">
        <f t="shared" si="1"/>
        <v>114.9077713940127</v>
      </c>
      <c r="H20" s="147">
        <v>16535</v>
      </c>
      <c r="I20" s="202"/>
      <c r="J20" s="203"/>
      <c r="K20" s="203"/>
      <c r="L20" s="203"/>
    </row>
    <row r="23" spans="3:7" ht="15.75">
      <c r="C23" s="68"/>
      <c r="D23" s="68"/>
      <c r="E23" s="68"/>
      <c r="F23" s="68"/>
      <c r="G23" s="68"/>
    </row>
    <row r="24" spans="3:7" ht="15.75">
      <c r="C24" s="68"/>
      <c r="D24" s="68"/>
      <c r="E24" s="68"/>
      <c r="F24" s="68"/>
      <c r="G24" s="68"/>
    </row>
    <row r="25" spans="3:7" ht="15.75">
      <c r="C25" s="68"/>
      <c r="D25" s="68"/>
      <c r="E25" s="68"/>
      <c r="F25" s="68"/>
      <c r="G25" s="68"/>
    </row>
  </sheetData>
  <sheetProtection/>
  <mergeCells count="4">
    <mergeCell ref="A3:A4"/>
    <mergeCell ref="C3:E3"/>
    <mergeCell ref="B3:B4"/>
    <mergeCell ref="F3:G3"/>
  </mergeCells>
  <printOptions/>
  <pageMargins left="0.7" right="0.3" top="0.6" bottom="0.6" header="0.551181102362205" footer="0.51181102362204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G25"/>
  <sheetViews>
    <sheetView zoomScalePageLayoutView="0" workbookViewId="0" topLeftCell="A1">
      <selection activeCell="A20" sqref="A20:IV20"/>
    </sheetView>
  </sheetViews>
  <sheetFormatPr defaultColWidth="9.00390625" defaultRowHeight="15.75"/>
  <cols>
    <col min="1" max="1" width="30.00390625" style="234" customWidth="1"/>
    <col min="2" max="3" width="9.00390625" style="234" customWidth="1"/>
    <col min="4" max="4" width="10.125" style="234" customWidth="1"/>
    <col min="5" max="5" width="9.375" style="234" customWidth="1"/>
    <col min="6" max="16384" width="9.00390625" style="234" customWidth="1"/>
  </cols>
  <sheetData>
    <row r="2" s="280" customFormat="1" ht="21.75" customHeight="1">
      <c r="A2" s="3" t="s">
        <v>305</v>
      </c>
    </row>
    <row r="3" spans="1:7" s="280" customFormat="1" ht="23.25" customHeight="1">
      <c r="A3" s="3" t="s">
        <v>306</v>
      </c>
      <c r="B3" s="281"/>
      <c r="C3" s="281"/>
      <c r="D3" s="281"/>
      <c r="E3" s="281"/>
      <c r="F3" s="281"/>
      <c r="G3" s="281"/>
    </row>
    <row r="4" spans="1:7" s="280" customFormat="1" ht="15">
      <c r="A4" s="2"/>
      <c r="B4" s="2"/>
      <c r="C4" s="2"/>
      <c r="D4" s="2"/>
      <c r="E4" s="2"/>
      <c r="F4" s="374" t="s">
        <v>118</v>
      </c>
      <c r="G4" s="375"/>
    </row>
    <row r="5" spans="1:7" s="280" customFormat="1" ht="33.75" customHeight="1">
      <c r="A5" s="360" t="s">
        <v>0</v>
      </c>
      <c r="B5" s="376" t="s">
        <v>322</v>
      </c>
      <c r="C5" s="365" t="s">
        <v>323</v>
      </c>
      <c r="D5" s="377"/>
      <c r="E5" s="363" t="s">
        <v>307</v>
      </c>
      <c r="F5" s="365" t="s">
        <v>17</v>
      </c>
      <c r="G5" s="377"/>
    </row>
    <row r="6" spans="1:7" s="280" customFormat="1" ht="53.25" customHeight="1">
      <c r="A6" s="361"/>
      <c r="B6" s="361"/>
      <c r="C6" s="26" t="s">
        <v>308</v>
      </c>
      <c r="D6" s="26" t="s">
        <v>285</v>
      </c>
      <c r="E6" s="369"/>
      <c r="F6" s="26" t="s">
        <v>286</v>
      </c>
      <c r="G6" s="26" t="s">
        <v>287</v>
      </c>
    </row>
    <row r="7" spans="1:7" s="285" customFormat="1" ht="27" customHeight="1">
      <c r="A7" s="282" t="s">
        <v>288</v>
      </c>
      <c r="B7" s="283">
        <f>B9+B12+B13</f>
        <v>3494225</v>
      </c>
      <c r="C7" s="283">
        <f>C9+C12+C13</f>
        <v>3782373</v>
      </c>
      <c r="D7" s="283">
        <f>D9+D12+D13</f>
        <v>13148550</v>
      </c>
      <c r="E7" s="283">
        <f>E9+E12+E13</f>
        <v>12648614</v>
      </c>
      <c r="F7" s="284">
        <f>C7/B7*100</f>
        <v>108.24640657084188</v>
      </c>
      <c r="G7" s="284">
        <f>D7/E7*100</f>
        <v>103.95249629722277</v>
      </c>
    </row>
    <row r="8" spans="1:7" s="289" customFormat="1" ht="27" customHeight="1">
      <c r="A8" s="286" t="s">
        <v>289</v>
      </c>
      <c r="B8" s="287"/>
      <c r="C8" s="287"/>
      <c r="D8" s="287"/>
      <c r="E8" s="287"/>
      <c r="F8" s="288"/>
      <c r="G8" s="288"/>
    </row>
    <row r="9" spans="1:7" s="281" customFormat="1" ht="27" customHeight="1">
      <c r="A9" s="290" t="s">
        <v>290</v>
      </c>
      <c r="B9" s="291">
        <f>B10+B11</f>
        <v>1716865</v>
      </c>
      <c r="C9" s="291">
        <f>C10+C11</f>
        <v>1907033</v>
      </c>
      <c r="D9" s="291">
        <f>D10+D11</f>
        <v>6414713</v>
      </c>
      <c r="E9" s="291">
        <f>E10+E11</f>
        <v>6098514</v>
      </c>
      <c r="F9" s="42">
        <f aca="true" t="shared" si="0" ref="F9:F23">C9/B9*100</f>
        <v>111.07646786439236</v>
      </c>
      <c r="G9" s="42">
        <f aca="true" t="shared" si="1" ref="G9:G23">D9/E9*100</f>
        <v>105.18485322817985</v>
      </c>
    </row>
    <row r="10" spans="1:7" s="281" customFormat="1" ht="27" customHeight="1">
      <c r="A10" s="292" t="s">
        <v>291</v>
      </c>
      <c r="B10" s="291">
        <v>685686</v>
      </c>
      <c r="C10" s="291">
        <v>756240</v>
      </c>
      <c r="D10" s="291">
        <f>1363870+C10</f>
        <v>2120110</v>
      </c>
      <c r="E10" s="291">
        <v>1877167</v>
      </c>
      <c r="F10" s="42">
        <f t="shared" si="0"/>
        <v>110.28954944391455</v>
      </c>
      <c r="G10" s="42">
        <f t="shared" si="1"/>
        <v>112.94200249631491</v>
      </c>
    </row>
    <row r="11" spans="1:7" s="281" customFormat="1" ht="27" customHeight="1">
      <c r="A11" s="292" t="s">
        <v>292</v>
      </c>
      <c r="B11" s="291">
        <v>1031179</v>
      </c>
      <c r="C11" s="291">
        <v>1150793</v>
      </c>
      <c r="D11" s="291">
        <f>3143810+C11</f>
        <v>4294603</v>
      </c>
      <c r="E11" s="291">
        <v>4221347</v>
      </c>
      <c r="F11" s="42">
        <f t="shared" si="0"/>
        <v>111.59973195730323</v>
      </c>
      <c r="G11" s="42">
        <f t="shared" si="1"/>
        <v>101.73537025030161</v>
      </c>
    </row>
    <row r="12" spans="1:7" s="293" customFormat="1" ht="27" customHeight="1">
      <c r="A12" s="290" t="s">
        <v>293</v>
      </c>
      <c r="B12" s="291">
        <v>1553090</v>
      </c>
      <c r="C12" s="291">
        <v>1627090</v>
      </c>
      <c r="D12" s="291">
        <f>4285727+C12</f>
        <v>5912817</v>
      </c>
      <c r="E12" s="291">
        <v>5747497</v>
      </c>
      <c r="F12" s="42">
        <f t="shared" si="0"/>
        <v>104.76469489855707</v>
      </c>
      <c r="G12" s="42">
        <f t="shared" si="1"/>
        <v>102.8763825366068</v>
      </c>
    </row>
    <row r="13" spans="1:7" s="293" customFormat="1" ht="27" customHeight="1">
      <c r="A13" s="290" t="s">
        <v>294</v>
      </c>
      <c r="B13" s="291">
        <v>224270</v>
      </c>
      <c r="C13" s="291">
        <v>248250</v>
      </c>
      <c r="D13" s="291">
        <f>572770+C13</f>
        <v>821020</v>
      </c>
      <c r="E13" s="291">
        <v>802603</v>
      </c>
      <c r="F13" s="42">
        <f t="shared" si="0"/>
        <v>110.69246889909483</v>
      </c>
      <c r="G13" s="42">
        <f t="shared" si="1"/>
        <v>102.29465875407892</v>
      </c>
    </row>
    <row r="14" spans="1:7" s="289" customFormat="1" ht="27" customHeight="1">
      <c r="A14" s="286" t="s">
        <v>295</v>
      </c>
      <c r="B14" s="283"/>
      <c r="C14" s="283"/>
      <c r="D14" s="283"/>
      <c r="E14" s="283"/>
      <c r="F14" s="288"/>
      <c r="G14" s="288"/>
    </row>
    <row r="15" spans="1:7" s="281" customFormat="1" ht="27" customHeight="1">
      <c r="A15" s="290" t="s">
        <v>296</v>
      </c>
      <c r="B15" s="291">
        <f>B17+B18+B19</f>
        <v>2915260</v>
      </c>
      <c r="C15" s="291">
        <f>C17+C18+C19</f>
        <v>3163729</v>
      </c>
      <c r="D15" s="291">
        <f>D17+D18+D19</f>
        <v>11032862</v>
      </c>
      <c r="E15" s="291">
        <f>E17+E18+E19</f>
        <v>9713390</v>
      </c>
      <c r="F15" s="42">
        <f t="shared" si="0"/>
        <v>108.52304768699877</v>
      </c>
      <c r="G15" s="42">
        <f t="shared" si="1"/>
        <v>113.58405252954941</v>
      </c>
    </row>
    <row r="16" spans="1:7" s="281" customFormat="1" ht="27" customHeight="1">
      <c r="A16" s="290" t="s">
        <v>297</v>
      </c>
      <c r="B16" s="291"/>
      <c r="C16" s="291"/>
      <c r="D16" s="291"/>
      <c r="E16" s="291"/>
      <c r="F16" s="42"/>
      <c r="G16" s="42"/>
    </row>
    <row r="17" spans="1:7" s="281" customFormat="1" ht="27" customHeight="1">
      <c r="A17" s="292" t="s">
        <v>298</v>
      </c>
      <c r="B17" s="291">
        <v>2517344</v>
      </c>
      <c r="C17" s="291">
        <v>2690009</v>
      </c>
      <c r="D17" s="291">
        <f>6260408+C17</f>
        <v>8950417</v>
      </c>
      <c r="E17" s="291">
        <v>7051590</v>
      </c>
      <c r="F17" s="42">
        <f t="shared" si="0"/>
        <v>106.85901489824197</v>
      </c>
      <c r="G17" s="42">
        <f t="shared" si="1"/>
        <v>126.92764326910668</v>
      </c>
    </row>
    <row r="18" spans="1:7" s="281" customFormat="1" ht="27" customHeight="1">
      <c r="A18" s="292" t="s">
        <v>299</v>
      </c>
      <c r="B18" s="291">
        <v>281599</v>
      </c>
      <c r="C18" s="291">
        <v>303150</v>
      </c>
      <c r="D18" s="291">
        <f>1292192+C18</f>
        <v>1595342</v>
      </c>
      <c r="E18" s="291">
        <v>1475107</v>
      </c>
      <c r="F18" s="42">
        <f t="shared" si="0"/>
        <v>107.6530811544075</v>
      </c>
      <c r="G18" s="42">
        <f t="shared" si="1"/>
        <v>108.15093413562542</v>
      </c>
    </row>
    <row r="19" spans="1:7" ht="27" customHeight="1">
      <c r="A19" s="292" t="s">
        <v>300</v>
      </c>
      <c r="B19" s="291">
        <v>116317</v>
      </c>
      <c r="C19" s="291">
        <v>170570</v>
      </c>
      <c r="D19" s="291">
        <f>316533+C19</f>
        <v>487103</v>
      </c>
      <c r="E19" s="291">
        <v>1186693</v>
      </c>
      <c r="F19" s="42">
        <f t="shared" si="0"/>
        <v>146.64236526045204</v>
      </c>
      <c r="G19" s="42">
        <f t="shared" si="1"/>
        <v>41.047094741436915</v>
      </c>
    </row>
    <row r="20" spans="1:7" ht="34.5" customHeight="1">
      <c r="A20" s="290" t="s">
        <v>301</v>
      </c>
      <c r="B20" s="291">
        <v>414843</v>
      </c>
      <c r="C20" s="291">
        <v>454535</v>
      </c>
      <c r="D20" s="291">
        <f>1139755+C20</f>
        <v>1594290</v>
      </c>
      <c r="E20" s="291">
        <v>2246034</v>
      </c>
      <c r="F20" s="42">
        <f t="shared" si="0"/>
        <v>109.56795703434794</v>
      </c>
      <c r="G20" s="42">
        <f t="shared" si="1"/>
        <v>70.98245173492475</v>
      </c>
    </row>
    <row r="21" spans="1:7" ht="33" customHeight="1">
      <c r="A21" s="290" t="s">
        <v>302</v>
      </c>
      <c r="B21" s="291">
        <v>6258</v>
      </c>
      <c r="C21" s="291">
        <v>6664</v>
      </c>
      <c r="D21" s="291">
        <f>21500+C21</f>
        <v>28164</v>
      </c>
      <c r="E21" s="291">
        <v>23895</v>
      </c>
      <c r="F21" s="42">
        <f t="shared" si="0"/>
        <v>106.48769574944072</v>
      </c>
      <c r="G21" s="42">
        <f t="shared" si="1"/>
        <v>117.86566227244192</v>
      </c>
    </row>
    <row r="22" spans="1:7" ht="27" customHeight="1">
      <c r="A22" s="290" t="s">
        <v>303</v>
      </c>
      <c r="B22" s="291">
        <v>139236</v>
      </c>
      <c r="C22" s="291">
        <v>138314</v>
      </c>
      <c r="D22" s="291">
        <f>288226+C22</f>
        <v>426540</v>
      </c>
      <c r="E22" s="291">
        <v>583163</v>
      </c>
      <c r="F22" s="42">
        <f t="shared" si="0"/>
        <v>99.33781493291964</v>
      </c>
      <c r="G22" s="42">
        <f t="shared" si="1"/>
        <v>73.1425004672793</v>
      </c>
    </row>
    <row r="23" spans="1:7" ht="27" customHeight="1">
      <c r="A23" s="294" t="s">
        <v>304</v>
      </c>
      <c r="B23" s="295">
        <v>18628</v>
      </c>
      <c r="C23" s="295">
        <v>19104</v>
      </c>
      <c r="D23" s="295">
        <f>47563+C23</f>
        <v>66667</v>
      </c>
      <c r="E23" s="295">
        <v>82132</v>
      </c>
      <c r="F23" s="23">
        <f t="shared" si="0"/>
        <v>102.55529310715052</v>
      </c>
      <c r="G23" s="23">
        <f t="shared" si="1"/>
        <v>81.17055471679735</v>
      </c>
    </row>
    <row r="24" spans="2:5" ht="15.75">
      <c r="B24" s="296"/>
      <c r="C24" s="296"/>
      <c r="D24" s="296"/>
      <c r="E24" s="296"/>
    </row>
    <row r="25" spans="2:5" ht="15.75">
      <c r="B25" s="297"/>
      <c r="C25" s="297"/>
      <c r="D25" s="297"/>
      <c r="E25" s="297"/>
    </row>
  </sheetData>
  <sheetProtection/>
  <mergeCells count="6">
    <mergeCell ref="F4:G4"/>
    <mergeCell ref="A5:A6"/>
    <mergeCell ref="B5:B6"/>
    <mergeCell ref="C5:D5"/>
    <mergeCell ref="E5:E6"/>
    <mergeCell ref="F5:G5"/>
  </mergeCells>
  <printOptions/>
  <pageMargins left="0.7" right="0.3" top="0.6" bottom="0.6" header="0.551181102362205" footer="0.3149606299212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H9" sqref="H9"/>
    </sheetView>
  </sheetViews>
  <sheetFormatPr defaultColWidth="9.00390625" defaultRowHeight="24" customHeight="1"/>
  <cols>
    <col min="1" max="1" width="35.875" style="142" customWidth="1"/>
    <col min="2" max="4" width="7.875" style="8" customWidth="1"/>
    <col min="5" max="5" width="8.375" style="7" customWidth="1"/>
    <col min="6" max="6" width="8.25390625" style="8" customWidth="1"/>
    <col min="7" max="7" width="8.625" style="7" customWidth="1"/>
    <col min="8" max="10" width="9.00390625" style="8" customWidth="1"/>
    <col min="11" max="17" width="0" style="8" hidden="1" customWidth="1"/>
    <col min="18" max="16384" width="9.00390625" style="8" customWidth="1"/>
  </cols>
  <sheetData>
    <row r="1" spans="1:7" ht="24" customHeight="1">
      <c r="A1" s="196" t="s">
        <v>396</v>
      </c>
      <c r="B1" s="24"/>
      <c r="C1" s="24"/>
      <c r="D1" s="24"/>
      <c r="E1" s="24"/>
      <c r="F1" s="24"/>
      <c r="G1" s="24"/>
    </row>
    <row r="2" spans="1:7" s="1" customFormat="1" ht="24" customHeight="1">
      <c r="A2" s="131"/>
      <c r="B2" s="2"/>
      <c r="C2" s="2"/>
      <c r="D2" s="2"/>
      <c r="E2" s="2"/>
      <c r="G2" s="93" t="s">
        <v>78</v>
      </c>
    </row>
    <row r="3" spans="1:7" s="1" customFormat="1" ht="33" customHeight="1">
      <c r="A3" s="378" t="s">
        <v>0</v>
      </c>
      <c r="B3" s="372" t="s">
        <v>111</v>
      </c>
      <c r="C3" s="366"/>
      <c r="D3" s="367"/>
      <c r="E3" s="376" t="s">
        <v>284</v>
      </c>
      <c r="F3" s="365" t="s">
        <v>17</v>
      </c>
      <c r="G3" s="377"/>
    </row>
    <row r="4" spans="1:7" s="1" customFormat="1" ht="46.5" customHeight="1">
      <c r="A4" s="379"/>
      <c r="B4" s="121" t="s">
        <v>281</v>
      </c>
      <c r="C4" s="26" t="s">
        <v>282</v>
      </c>
      <c r="D4" s="26" t="s">
        <v>283</v>
      </c>
      <c r="E4" s="361"/>
      <c r="F4" s="26" t="s">
        <v>86</v>
      </c>
      <c r="G4" s="27" t="s">
        <v>172</v>
      </c>
    </row>
    <row r="5" spans="1:10" s="135" customFormat="1" ht="23.25" customHeight="1">
      <c r="A5" s="132" t="s">
        <v>96</v>
      </c>
      <c r="B5" s="133">
        <f>B6+B11+B15</f>
        <v>182083</v>
      </c>
      <c r="C5" s="133">
        <f>C6+C11+C15</f>
        <v>197604</v>
      </c>
      <c r="D5" s="133">
        <f>D6+D11+D15</f>
        <v>1912308</v>
      </c>
      <c r="E5" s="133">
        <f>E6+E11+E15</f>
        <v>1759175</v>
      </c>
      <c r="F5" s="134">
        <f>C5/B5*100</f>
        <v>108.52413459795807</v>
      </c>
      <c r="G5" s="134">
        <f>D5/E5*100</f>
        <v>108.7048190202794</v>
      </c>
      <c r="I5" s="153"/>
      <c r="J5" s="153"/>
    </row>
    <row r="6" spans="1:10" s="109" customFormat="1" ht="23.25" customHeight="1">
      <c r="A6" s="136" t="s">
        <v>97</v>
      </c>
      <c r="B6" s="133">
        <f>B7+B8+B9+B10</f>
        <v>126943</v>
      </c>
      <c r="C6" s="133">
        <f>C7+C8+C9+C10</f>
        <v>142094</v>
      </c>
      <c r="D6" s="133">
        <f>D7+D8+D9+D10</f>
        <v>1306253</v>
      </c>
      <c r="E6" s="133">
        <f>E7+E8+E9+E10</f>
        <v>1115441</v>
      </c>
      <c r="F6" s="134">
        <f aca="true" t="shared" si="0" ref="F6:F32">C6/B6*100</f>
        <v>111.93527803817463</v>
      </c>
      <c r="G6" s="134">
        <f aca="true" t="shared" si="1" ref="G6:G31">D6/E6*100</f>
        <v>117.10641799969699</v>
      </c>
      <c r="I6" s="154"/>
      <c r="J6" s="154"/>
    </row>
    <row r="7" spans="1:10" s="109" customFormat="1" ht="23.25" customHeight="1">
      <c r="A7" s="110" t="s">
        <v>98</v>
      </c>
      <c r="B7" s="76">
        <v>46367</v>
      </c>
      <c r="C7" s="76">
        <v>51500</v>
      </c>
      <c r="D7" s="76">
        <f>466035+C7</f>
        <v>517535</v>
      </c>
      <c r="E7" s="76">
        <v>471538</v>
      </c>
      <c r="F7" s="77">
        <f t="shared" si="0"/>
        <v>111.07037332585674</v>
      </c>
      <c r="G7" s="77">
        <f t="shared" si="1"/>
        <v>109.7546751269251</v>
      </c>
      <c r="I7" s="154"/>
      <c r="J7" s="154"/>
    </row>
    <row r="8" spans="1:10" s="109" customFormat="1" ht="23.25" customHeight="1">
      <c r="A8" s="110" t="s">
        <v>99</v>
      </c>
      <c r="B8" s="76">
        <v>69146</v>
      </c>
      <c r="C8" s="76">
        <v>79614</v>
      </c>
      <c r="D8" s="76">
        <f>574664+C8</f>
        <v>654278</v>
      </c>
      <c r="E8" s="76">
        <v>521376</v>
      </c>
      <c r="F8" s="77">
        <f t="shared" si="0"/>
        <v>115.1389812859746</v>
      </c>
      <c r="G8" s="77">
        <f t="shared" si="1"/>
        <v>125.49062480819984</v>
      </c>
      <c r="I8" s="154"/>
      <c r="J8" s="154"/>
    </row>
    <row r="9" spans="1:10" s="109" customFormat="1" ht="23.25" customHeight="1">
      <c r="A9" s="110" t="s">
        <v>100</v>
      </c>
      <c r="B9" s="76">
        <v>5500</v>
      </c>
      <c r="C9" s="76">
        <v>5000</v>
      </c>
      <c r="D9" s="76">
        <f>61290+C9</f>
        <v>66290</v>
      </c>
      <c r="E9" s="76">
        <v>52718</v>
      </c>
      <c r="F9" s="77">
        <f t="shared" si="0"/>
        <v>90.9090909090909</v>
      </c>
      <c r="G9" s="77">
        <f t="shared" si="1"/>
        <v>125.74452748586819</v>
      </c>
      <c r="I9" s="154"/>
      <c r="J9" s="154"/>
    </row>
    <row r="10" spans="1:10" s="109" customFormat="1" ht="23.25" customHeight="1">
      <c r="A10" s="110" t="s">
        <v>101</v>
      </c>
      <c r="B10" s="76">
        <f>280+5650</f>
        <v>5930</v>
      </c>
      <c r="C10" s="76">
        <f>280+5700</f>
        <v>5980</v>
      </c>
      <c r="D10" s="76">
        <f>3630+58540+C10</f>
        <v>68150</v>
      </c>
      <c r="E10" s="76">
        <v>69809</v>
      </c>
      <c r="F10" s="77">
        <f t="shared" si="0"/>
        <v>100.84317032040472</v>
      </c>
      <c r="G10" s="77">
        <f t="shared" si="1"/>
        <v>97.62351559254537</v>
      </c>
      <c r="I10" s="154"/>
      <c r="J10" s="154"/>
    </row>
    <row r="11" spans="1:10" s="1" customFormat="1" ht="23.25" customHeight="1">
      <c r="A11" s="136" t="s">
        <v>102</v>
      </c>
      <c r="B11" s="137">
        <f>B12+B13+B14</f>
        <v>37110</v>
      </c>
      <c r="C11" s="137">
        <f>C12+C13+C14</f>
        <v>37380</v>
      </c>
      <c r="D11" s="137">
        <f>D12+D13+D14</f>
        <v>405785</v>
      </c>
      <c r="E11" s="137">
        <f>E12+E13+E14</f>
        <v>425554</v>
      </c>
      <c r="F11" s="138">
        <f t="shared" si="0"/>
        <v>100.72756669361358</v>
      </c>
      <c r="G11" s="138">
        <f t="shared" si="1"/>
        <v>95.3545261000954</v>
      </c>
      <c r="I11" s="139"/>
      <c r="J11" s="139"/>
    </row>
    <row r="12" spans="1:10" s="1" customFormat="1" ht="23.25" customHeight="1">
      <c r="A12" s="110" t="s">
        <v>103</v>
      </c>
      <c r="B12" s="12">
        <v>7800</v>
      </c>
      <c r="C12" s="12">
        <v>7900</v>
      </c>
      <c r="D12" s="76">
        <f>84430+7900</f>
        <v>92330</v>
      </c>
      <c r="E12" s="12">
        <v>99095</v>
      </c>
      <c r="F12" s="18">
        <f t="shared" si="0"/>
        <v>101.28205128205127</v>
      </c>
      <c r="G12" s="18">
        <f t="shared" si="1"/>
        <v>93.17321761945607</v>
      </c>
      <c r="I12" s="139"/>
      <c r="J12" s="139"/>
    </row>
    <row r="13" spans="1:10" s="1" customFormat="1" ht="23.25" customHeight="1">
      <c r="A13" s="110" t="s">
        <v>104</v>
      </c>
      <c r="B13" s="12">
        <v>28050</v>
      </c>
      <c r="C13" s="12">
        <v>28200</v>
      </c>
      <c r="D13" s="76">
        <f>271925+28200</f>
        <v>300125</v>
      </c>
      <c r="E13" s="76">
        <v>313350</v>
      </c>
      <c r="F13" s="18">
        <f t="shared" si="0"/>
        <v>100.53475935828877</v>
      </c>
      <c r="G13" s="77">
        <f t="shared" si="1"/>
        <v>95.77947981490347</v>
      </c>
      <c r="I13" s="139"/>
      <c r="J13" s="139"/>
    </row>
    <row r="14" spans="1:10" s="1" customFormat="1" ht="23.25" customHeight="1">
      <c r="A14" s="110" t="s">
        <v>101</v>
      </c>
      <c r="B14" s="12">
        <v>1260</v>
      </c>
      <c r="C14" s="12">
        <v>1280</v>
      </c>
      <c r="D14" s="76">
        <f>12050+1280</f>
        <v>13330</v>
      </c>
      <c r="E14" s="76">
        <v>13109</v>
      </c>
      <c r="F14" s="18">
        <f t="shared" si="0"/>
        <v>101.58730158730158</v>
      </c>
      <c r="G14" s="77">
        <f t="shared" si="1"/>
        <v>101.68586467312532</v>
      </c>
      <c r="I14" s="139"/>
      <c r="J14" s="139"/>
    </row>
    <row r="15" spans="1:10" s="1" customFormat="1" ht="23.25" customHeight="1">
      <c r="A15" s="136" t="s">
        <v>105</v>
      </c>
      <c r="B15" s="137">
        <f>B16+B17+B18</f>
        <v>18030</v>
      </c>
      <c r="C15" s="137">
        <f>C16+C17+C18</f>
        <v>18130</v>
      </c>
      <c r="D15" s="137">
        <f>D16+D17+D18</f>
        <v>200270</v>
      </c>
      <c r="E15" s="137">
        <f>E16+E17+E18</f>
        <v>218180</v>
      </c>
      <c r="F15" s="138">
        <f t="shared" si="0"/>
        <v>100.55463117027176</v>
      </c>
      <c r="G15" s="134">
        <f t="shared" si="1"/>
        <v>91.79118159317994</v>
      </c>
      <c r="I15" s="139"/>
      <c r="J15" s="139"/>
    </row>
    <row r="16" spans="1:10" s="1" customFormat="1" ht="23.25" customHeight="1">
      <c r="A16" s="110" t="s">
        <v>106</v>
      </c>
      <c r="B16" s="12">
        <v>3550</v>
      </c>
      <c r="C16" s="12">
        <v>3600</v>
      </c>
      <c r="D16" s="76">
        <f>41345+3600</f>
        <v>44945</v>
      </c>
      <c r="E16" s="76">
        <v>51675</v>
      </c>
      <c r="F16" s="18">
        <f t="shared" si="0"/>
        <v>101.40845070422534</v>
      </c>
      <c r="G16" s="77">
        <f t="shared" si="1"/>
        <v>86.97629414610547</v>
      </c>
      <c r="I16" s="139"/>
      <c r="J16" s="139"/>
    </row>
    <row r="17" spans="1:10" s="1" customFormat="1" ht="23.25" customHeight="1">
      <c r="A17" s="110" t="s">
        <v>107</v>
      </c>
      <c r="B17" s="12">
        <v>13620</v>
      </c>
      <c r="C17" s="12">
        <v>13650</v>
      </c>
      <c r="D17" s="76">
        <f>132275+13650</f>
        <v>145925</v>
      </c>
      <c r="E17" s="76">
        <v>156332</v>
      </c>
      <c r="F17" s="18">
        <f t="shared" si="0"/>
        <v>100.22026431718061</v>
      </c>
      <c r="G17" s="77">
        <f t="shared" si="1"/>
        <v>93.34301358646982</v>
      </c>
      <c r="I17" s="139"/>
      <c r="J17" s="139"/>
    </row>
    <row r="18" spans="1:10" s="1" customFormat="1" ht="23.25" customHeight="1">
      <c r="A18" s="110" t="s">
        <v>101</v>
      </c>
      <c r="B18" s="12">
        <v>860</v>
      </c>
      <c r="C18" s="12">
        <v>880</v>
      </c>
      <c r="D18" s="76">
        <v>9400</v>
      </c>
      <c r="E18" s="76">
        <v>10173</v>
      </c>
      <c r="F18" s="18">
        <f t="shared" si="0"/>
        <v>102.32558139534885</v>
      </c>
      <c r="G18" s="77">
        <f t="shared" si="1"/>
        <v>92.4014548314165</v>
      </c>
      <c r="I18" s="139"/>
      <c r="J18" s="139"/>
    </row>
    <row r="19" spans="1:9" s="1" customFormat="1" ht="34.5" customHeight="1">
      <c r="A19" s="140" t="s">
        <v>108</v>
      </c>
      <c r="B19" s="12"/>
      <c r="C19" s="12"/>
      <c r="D19" s="12"/>
      <c r="E19" s="12"/>
      <c r="F19" s="18"/>
      <c r="G19" s="134"/>
      <c r="I19" s="139"/>
    </row>
    <row r="20" spans="1:14" s="1" customFormat="1" ht="22.5" customHeight="1">
      <c r="A20" s="110" t="s">
        <v>2</v>
      </c>
      <c r="B20" s="12">
        <v>23306</v>
      </c>
      <c r="C20" s="12">
        <v>27488</v>
      </c>
      <c r="D20" s="12">
        <v>293561</v>
      </c>
      <c r="E20" s="76">
        <v>211662</v>
      </c>
      <c r="F20" s="18">
        <f t="shared" si="0"/>
        <v>117.94387711318974</v>
      </c>
      <c r="G20" s="77">
        <f t="shared" si="1"/>
        <v>138.69329402538008</v>
      </c>
      <c r="I20" s="139"/>
      <c r="K20" s="1">
        <v>36340</v>
      </c>
      <c r="L20" s="1">
        <v>17340</v>
      </c>
      <c r="M20" s="1">
        <v>192662</v>
      </c>
      <c r="N20" s="1">
        <f>M20-L20+K20</f>
        <v>211662</v>
      </c>
    </row>
    <row r="21" spans="1:14" s="1" customFormat="1" ht="22.5" customHeight="1">
      <c r="A21" s="110" t="s">
        <v>3</v>
      </c>
      <c r="B21" s="12">
        <v>6870</v>
      </c>
      <c r="C21" s="12">
        <v>11830</v>
      </c>
      <c r="D21" s="76">
        <v>115814</v>
      </c>
      <c r="E21" s="76">
        <v>172595</v>
      </c>
      <c r="F21" s="18">
        <f t="shared" si="0"/>
        <v>172.19796215429403</v>
      </c>
      <c r="G21" s="77">
        <f t="shared" si="1"/>
        <v>67.10159622237029</v>
      </c>
      <c r="I21" s="139"/>
      <c r="K21" s="1">
        <v>13670</v>
      </c>
      <c r="L21" s="1">
        <v>20670</v>
      </c>
      <c r="M21" s="1">
        <v>179595</v>
      </c>
      <c r="N21" s="1">
        <f aca="true" t="shared" si="2" ref="N21:N32">M21-L21+K21</f>
        <v>172595</v>
      </c>
    </row>
    <row r="22" spans="1:14" s="39" customFormat="1" ht="22.5" customHeight="1">
      <c r="A22" s="110" t="s">
        <v>4</v>
      </c>
      <c r="B22" s="12">
        <v>29378</v>
      </c>
      <c r="C22" s="12">
        <v>32864</v>
      </c>
      <c r="D22" s="76">
        <v>186391</v>
      </c>
      <c r="E22" s="76">
        <v>237069</v>
      </c>
      <c r="F22" s="18">
        <f t="shared" si="0"/>
        <v>111.86602219347812</v>
      </c>
      <c r="G22" s="77">
        <f t="shared" si="1"/>
        <v>78.62310129118526</v>
      </c>
      <c r="I22" s="148"/>
      <c r="K22" s="39">
        <v>15326</v>
      </c>
      <c r="L22" s="39">
        <v>16722</v>
      </c>
      <c r="M22" s="39">
        <v>238465</v>
      </c>
      <c r="N22" s="1">
        <f t="shared" si="2"/>
        <v>237069</v>
      </c>
    </row>
    <row r="23" spans="1:14" s="1" customFormat="1" ht="22.5" customHeight="1">
      <c r="A23" s="110" t="s">
        <v>5</v>
      </c>
      <c r="B23" s="12">
        <v>6878</v>
      </c>
      <c r="C23" s="12">
        <v>5080</v>
      </c>
      <c r="D23" s="76">
        <v>112355</v>
      </c>
      <c r="E23" s="76">
        <v>86523</v>
      </c>
      <c r="F23" s="18">
        <f t="shared" si="0"/>
        <v>73.85867984879326</v>
      </c>
      <c r="G23" s="77">
        <f t="shared" si="1"/>
        <v>129.85564531974157</v>
      </c>
      <c r="I23" s="139"/>
      <c r="K23" s="1">
        <v>6462</v>
      </c>
      <c r="L23" s="1">
        <v>16315</v>
      </c>
      <c r="M23" s="1">
        <v>96376</v>
      </c>
      <c r="N23" s="1">
        <f t="shared" si="2"/>
        <v>86523</v>
      </c>
    </row>
    <row r="24" spans="1:14" s="1" customFormat="1" ht="22.5" customHeight="1">
      <c r="A24" s="110" t="s">
        <v>6</v>
      </c>
      <c r="B24" s="12">
        <v>9520</v>
      </c>
      <c r="C24" s="12">
        <v>7600</v>
      </c>
      <c r="D24" s="76">
        <v>187921</v>
      </c>
      <c r="E24" s="76">
        <v>200107</v>
      </c>
      <c r="F24" s="18">
        <f t="shared" si="0"/>
        <v>79.83193277310924</v>
      </c>
      <c r="G24" s="77">
        <f t="shared" si="1"/>
        <v>93.9102580119636</v>
      </c>
      <c r="I24" s="139"/>
      <c r="K24" s="1">
        <v>10245</v>
      </c>
      <c r="L24" s="1">
        <v>12765</v>
      </c>
      <c r="M24" s="1">
        <v>202627</v>
      </c>
      <c r="N24" s="1">
        <f t="shared" si="2"/>
        <v>200107</v>
      </c>
    </row>
    <row r="25" spans="1:14" s="1" customFormat="1" ht="22.5" customHeight="1">
      <c r="A25" s="110" t="s">
        <v>7</v>
      </c>
      <c r="B25" s="12">
        <v>25030</v>
      </c>
      <c r="C25" s="12">
        <v>19000</v>
      </c>
      <c r="D25" s="76">
        <v>213730</v>
      </c>
      <c r="E25" s="76">
        <v>213369</v>
      </c>
      <c r="F25" s="18">
        <f t="shared" si="0"/>
        <v>75.90890930882941</v>
      </c>
      <c r="G25" s="77">
        <f t="shared" si="1"/>
        <v>100.16919046346939</v>
      </c>
      <c r="I25" s="139"/>
      <c r="K25" s="1">
        <v>24616</v>
      </c>
      <c r="L25" s="1">
        <v>19730</v>
      </c>
      <c r="M25" s="1">
        <v>208483</v>
      </c>
      <c r="N25" s="1">
        <f t="shared" si="2"/>
        <v>213369</v>
      </c>
    </row>
    <row r="26" spans="1:14" s="1" customFormat="1" ht="22.5" customHeight="1">
      <c r="A26" s="110" t="s">
        <v>8</v>
      </c>
      <c r="B26" s="12">
        <v>7207</v>
      </c>
      <c r="C26" s="12">
        <v>10034</v>
      </c>
      <c r="D26" s="76">
        <v>102084</v>
      </c>
      <c r="E26" s="76">
        <v>95385</v>
      </c>
      <c r="F26" s="18">
        <f t="shared" si="0"/>
        <v>139.22575274039127</v>
      </c>
      <c r="G26" s="77">
        <f t="shared" si="1"/>
        <v>107.0231168422708</v>
      </c>
      <c r="I26" s="139"/>
      <c r="K26" s="1">
        <v>10404</v>
      </c>
      <c r="L26" s="1">
        <v>10404</v>
      </c>
      <c r="M26" s="1">
        <v>95385</v>
      </c>
      <c r="N26" s="1">
        <f t="shared" si="2"/>
        <v>95385</v>
      </c>
    </row>
    <row r="27" spans="1:14" s="1" customFormat="1" ht="22.5" customHeight="1">
      <c r="A27" s="110" t="s">
        <v>9</v>
      </c>
      <c r="B27" s="12">
        <v>20588</v>
      </c>
      <c r="C27" s="12">
        <v>22820</v>
      </c>
      <c r="D27" s="76">
        <v>164750</v>
      </c>
      <c r="E27" s="76">
        <v>125459</v>
      </c>
      <c r="F27" s="18">
        <f t="shared" si="0"/>
        <v>110.84126675733437</v>
      </c>
      <c r="G27" s="77">
        <f t="shared" si="1"/>
        <v>131.31780103460096</v>
      </c>
      <c r="I27" s="139"/>
      <c r="K27" s="1">
        <v>22755</v>
      </c>
      <c r="L27" s="1">
        <v>19055</v>
      </c>
      <c r="M27" s="1">
        <v>121759</v>
      </c>
      <c r="N27" s="1">
        <f t="shared" si="2"/>
        <v>125459</v>
      </c>
    </row>
    <row r="28" spans="1:14" s="1" customFormat="1" ht="22.5" customHeight="1">
      <c r="A28" s="110" t="s">
        <v>10</v>
      </c>
      <c r="B28" s="12">
        <v>7861</v>
      </c>
      <c r="C28" s="12">
        <v>12160</v>
      </c>
      <c r="D28" s="76">
        <v>87714</v>
      </c>
      <c r="E28" s="76">
        <v>78786</v>
      </c>
      <c r="F28" s="18">
        <f t="shared" si="0"/>
        <v>154.6876987660603</v>
      </c>
      <c r="G28" s="77">
        <f t="shared" si="1"/>
        <v>111.33196253141422</v>
      </c>
      <c r="I28" s="139"/>
      <c r="K28" s="1">
        <v>7591</v>
      </c>
      <c r="L28" s="1">
        <v>7591</v>
      </c>
      <c r="M28" s="1">
        <v>78786</v>
      </c>
      <c r="N28" s="1">
        <f t="shared" si="2"/>
        <v>78786</v>
      </c>
    </row>
    <row r="29" spans="1:14" s="1" customFormat="1" ht="22.5" customHeight="1">
      <c r="A29" s="110" t="s">
        <v>11</v>
      </c>
      <c r="B29" s="12">
        <v>2118</v>
      </c>
      <c r="C29" s="12">
        <v>2125</v>
      </c>
      <c r="D29" s="76">
        <v>43299</v>
      </c>
      <c r="E29" s="76">
        <v>70313</v>
      </c>
      <c r="F29" s="18">
        <f t="shared" si="0"/>
        <v>100.33050047214354</v>
      </c>
      <c r="G29" s="77">
        <f t="shared" si="1"/>
        <v>61.58036209520288</v>
      </c>
      <c r="I29" s="139"/>
      <c r="K29" s="1">
        <v>8251</v>
      </c>
      <c r="L29" s="1">
        <v>8577</v>
      </c>
      <c r="M29" s="1">
        <v>70639</v>
      </c>
      <c r="N29" s="1">
        <f t="shared" si="2"/>
        <v>70313</v>
      </c>
    </row>
    <row r="30" spans="1:14" s="1" customFormat="1" ht="22.5" customHeight="1">
      <c r="A30" s="110" t="s">
        <v>12</v>
      </c>
      <c r="B30" s="12">
        <v>8420</v>
      </c>
      <c r="C30" s="12">
        <v>10935</v>
      </c>
      <c r="D30" s="76">
        <v>108789</v>
      </c>
      <c r="E30" s="76">
        <v>84004</v>
      </c>
      <c r="F30" s="18">
        <f t="shared" si="0"/>
        <v>129.86935866983373</v>
      </c>
      <c r="G30" s="77">
        <f t="shared" si="1"/>
        <v>129.50454740250464</v>
      </c>
      <c r="I30" s="139"/>
      <c r="K30" s="1">
        <v>13805</v>
      </c>
      <c r="L30" s="1">
        <v>14385</v>
      </c>
      <c r="M30" s="1">
        <v>84584</v>
      </c>
      <c r="N30" s="1">
        <f t="shared" si="2"/>
        <v>84004</v>
      </c>
    </row>
    <row r="31" spans="1:14" s="1" customFormat="1" ht="22.5" customHeight="1">
      <c r="A31" s="110" t="s">
        <v>13</v>
      </c>
      <c r="B31" s="12">
        <v>13739</v>
      </c>
      <c r="C31" s="12">
        <v>14500</v>
      </c>
      <c r="D31" s="12">
        <v>92488</v>
      </c>
      <c r="E31" s="76">
        <v>86478</v>
      </c>
      <c r="F31" s="18">
        <f t="shared" si="0"/>
        <v>105.53897663585414</v>
      </c>
      <c r="G31" s="18">
        <f t="shared" si="1"/>
        <v>106.94974444367354</v>
      </c>
      <c r="I31" s="139"/>
      <c r="K31" s="1">
        <v>5470</v>
      </c>
      <c r="L31" s="1">
        <v>9910</v>
      </c>
      <c r="M31" s="1">
        <v>90918</v>
      </c>
      <c r="N31" s="1">
        <f t="shared" si="2"/>
        <v>86478</v>
      </c>
    </row>
    <row r="32" spans="1:14" s="1" customFormat="1" ht="22.5" customHeight="1">
      <c r="A32" s="141" t="s">
        <v>14</v>
      </c>
      <c r="B32" s="69">
        <v>21168</v>
      </c>
      <c r="C32" s="69">
        <v>21168</v>
      </c>
      <c r="D32" s="69">
        <v>203412</v>
      </c>
      <c r="E32" s="69">
        <v>97425</v>
      </c>
      <c r="F32" s="21">
        <f t="shared" si="0"/>
        <v>100</v>
      </c>
      <c r="G32" s="21">
        <f>D32/E32*100</f>
        <v>208.788298691301</v>
      </c>
      <c r="I32" s="139"/>
      <c r="K32" s="1">
        <v>10550</v>
      </c>
      <c r="L32" s="1">
        <v>10550</v>
      </c>
      <c r="M32" s="1">
        <v>97425</v>
      </c>
      <c r="N32" s="1">
        <f t="shared" si="2"/>
        <v>97425</v>
      </c>
    </row>
    <row r="33" spans="2:5" ht="24" customHeight="1">
      <c r="B33" s="52"/>
      <c r="C33" s="52"/>
      <c r="D33" s="52"/>
      <c r="E33" s="52"/>
    </row>
    <row r="34" spans="2:5" ht="24" customHeight="1">
      <c r="B34" s="52"/>
      <c r="C34" s="52"/>
      <c r="D34" s="52"/>
      <c r="E34" s="52"/>
    </row>
  </sheetData>
  <sheetProtection/>
  <mergeCells count="4">
    <mergeCell ref="A3:A4"/>
    <mergeCell ref="B3:D3"/>
    <mergeCell ref="E3:E4"/>
    <mergeCell ref="F3:G3"/>
  </mergeCells>
  <printOptions/>
  <pageMargins left="0.7" right="0.3" top="0.6" bottom="0.6" header="0.551181102362205" footer="0.3149606299212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L23"/>
  <sheetViews>
    <sheetView zoomScalePageLayoutView="0" workbookViewId="0" topLeftCell="A1">
      <selection activeCell="F11" sqref="F11:G11"/>
    </sheetView>
  </sheetViews>
  <sheetFormatPr defaultColWidth="9.00390625" defaultRowHeight="15.75"/>
  <cols>
    <col min="1" max="1" width="30.00390625" style="234" customWidth="1"/>
    <col min="2" max="2" width="8.625" style="234" customWidth="1"/>
    <col min="3" max="3" width="9.125" style="234" customWidth="1"/>
    <col min="4" max="5" width="9.375" style="234" bestFit="1" customWidth="1"/>
    <col min="6" max="6" width="8.75390625" style="234" customWidth="1"/>
    <col min="7" max="7" width="8.875" style="234" customWidth="1"/>
    <col min="8" max="16384" width="9.00390625" style="234" customWidth="1"/>
  </cols>
  <sheetData>
    <row r="2" s="280" customFormat="1" ht="21.75" customHeight="1">
      <c r="A2" s="235" t="s">
        <v>321</v>
      </c>
    </row>
    <row r="3" spans="2:7" s="280" customFormat="1" ht="23.25" customHeight="1">
      <c r="B3" s="281"/>
      <c r="C3" s="281"/>
      <c r="D3" s="281"/>
      <c r="E3" s="281"/>
      <c r="F3" s="281"/>
      <c r="G3" s="281"/>
    </row>
    <row r="4" spans="1:7" s="280" customFormat="1" ht="15">
      <c r="A4" s="2"/>
      <c r="B4" s="2"/>
      <c r="C4" s="2"/>
      <c r="D4" s="2"/>
      <c r="E4" s="2"/>
      <c r="F4" s="374" t="s">
        <v>118</v>
      </c>
      <c r="G4" s="375"/>
    </row>
    <row r="5" spans="1:7" s="280" customFormat="1" ht="33.75" customHeight="1">
      <c r="A5" s="360" t="s">
        <v>0</v>
      </c>
      <c r="B5" s="376" t="s">
        <v>322</v>
      </c>
      <c r="C5" s="365" t="s">
        <v>323</v>
      </c>
      <c r="D5" s="377"/>
      <c r="E5" s="363" t="s">
        <v>307</v>
      </c>
      <c r="F5" s="365" t="s">
        <v>17</v>
      </c>
      <c r="G5" s="377"/>
    </row>
    <row r="6" spans="1:7" s="280" customFormat="1" ht="53.25" customHeight="1">
      <c r="A6" s="361"/>
      <c r="B6" s="361"/>
      <c r="C6" s="26" t="s">
        <v>308</v>
      </c>
      <c r="D6" s="26" t="s">
        <v>285</v>
      </c>
      <c r="E6" s="369"/>
      <c r="F6" s="26" t="s">
        <v>286</v>
      </c>
      <c r="G6" s="26" t="s">
        <v>287</v>
      </c>
    </row>
    <row r="7" spans="1:12" s="280" customFormat="1" ht="31.5" customHeight="1">
      <c r="A7" s="13" t="s">
        <v>18</v>
      </c>
      <c r="B7" s="298">
        <f>B9+B10+B11+B12</f>
        <v>2107424</v>
      </c>
      <c r="C7" s="298">
        <f>C9+C10+C11+C12</f>
        <v>2644116</v>
      </c>
      <c r="D7" s="298">
        <f>D9+D10+D11+D12</f>
        <v>7464165</v>
      </c>
      <c r="E7" s="298">
        <f>E9+E10+E11+E12</f>
        <v>6686972</v>
      </c>
      <c r="F7" s="215">
        <f>C7/B7*100</f>
        <v>125.46673094735563</v>
      </c>
      <c r="G7" s="215">
        <f>D7/E7*100</f>
        <v>111.62249520410732</v>
      </c>
      <c r="H7" s="299"/>
      <c r="I7" s="300"/>
      <c r="J7" s="300"/>
      <c r="K7" s="300"/>
      <c r="L7" s="300"/>
    </row>
    <row r="8" spans="1:12" s="285" customFormat="1" ht="31.5" customHeight="1">
      <c r="A8" s="301" t="s">
        <v>309</v>
      </c>
      <c r="B8" s="302"/>
      <c r="C8" s="302"/>
      <c r="D8" s="302"/>
      <c r="E8" s="302"/>
      <c r="F8" s="303"/>
      <c r="G8" s="303"/>
      <c r="H8" s="304"/>
      <c r="I8" s="305"/>
      <c r="J8" s="305"/>
      <c r="K8" s="305"/>
      <c r="L8" s="305"/>
    </row>
    <row r="9" spans="1:12" s="281" customFormat="1" ht="30" customHeight="1">
      <c r="A9" s="30" t="s">
        <v>310</v>
      </c>
      <c r="B9" s="15">
        <v>35074</v>
      </c>
      <c r="C9" s="15">
        <v>35779</v>
      </c>
      <c r="D9" s="15">
        <v>142500</v>
      </c>
      <c r="E9" s="15">
        <v>150827</v>
      </c>
      <c r="F9" s="5">
        <f aca="true" t="shared" si="0" ref="F9:F19">C9/B9*100</f>
        <v>102.01003592404629</v>
      </c>
      <c r="G9" s="306">
        <f aca="true" t="shared" si="1" ref="G9:G14">D9/E9*100</f>
        <v>94.47910519999735</v>
      </c>
      <c r="H9" s="307"/>
      <c r="I9" s="308"/>
      <c r="J9" s="308"/>
      <c r="K9" s="308"/>
      <c r="L9" s="308"/>
    </row>
    <row r="10" spans="1:12" s="281" customFormat="1" ht="30" customHeight="1">
      <c r="A10" s="30" t="s">
        <v>311</v>
      </c>
      <c r="B10" s="15">
        <v>1332650</v>
      </c>
      <c r="C10" s="15">
        <v>1723753</v>
      </c>
      <c r="D10" s="15">
        <v>4648817</v>
      </c>
      <c r="E10" s="15">
        <v>4532598</v>
      </c>
      <c r="F10" s="5">
        <f t="shared" si="0"/>
        <v>129.3477657299366</v>
      </c>
      <c r="G10" s="306">
        <f t="shared" si="1"/>
        <v>102.56407031905322</v>
      </c>
      <c r="H10" s="307"/>
      <c r="I10" s="308"/>
      <c r="J10" s="308"/>
      <c r="K10" s="308"/>
      <c r="L10" s="308"/>
    </row>
    <row r="11" spans="1:12" s="281" customFormat="1" ht="30" customHeight="1">
      <c r="A11" s="30" t="s">
        <v>312</v>
      </c>
      <c r="B11" s="6">
        <v>0</v>
      </c>
      <c r="C11" s="6">
        <v>0</v>
      </c>
      <c r="D11" s="6">
        <v>0</v>
      </c>
      <c r="E11" s="291">
        <v>0</v>
      </c>
      <c r="F11" s="291">
        <v>0</v>
      </c>
      <c r="G11" s="291">
        <v>0</v>
      </c>
      <c r="H11" s="307"/>
      <c r="I11" s="308"/>
      <c r="J11" s="308"/>
      <c r="K11" s="308"/>
      <c r="L11" s="308"/>
    </row>
    <row r="12" spans="1:12" s="281" customFormat="1" ht="30" customHeight="1">
      <c r="A12" s="30" t="s">
        <v>313</v>
      </c>
      <c r="B12" s="15">
        <v>739700</v>
      </c>
      <c r="C12" s="15">
        <v>884584</v>
      </c>
      <c r="D12" s="15">
        <v>2672848</v>
      </c>
      <c r="E12" s="15">
        <v>2003547</v>
      </c>
      <c r="F12" s="5">
        <f t="shared" si="0"/>
        <v>119.5868595376504</v>
      </c>
      <c r="G12" s="306">
        <f t="shared" si="1"/>
        <v>133.405804805178</v>
      </c>
      <c r="H12" s="308"/>
      <c r="I12" s="308"/>
      <c r="J12" s="308"/>
      <c r="K12" s="308"/>
      <c r="L12" s="308"/>
    </row>
    <row r="13" spans="1:12" s="293" customFormat="1" ht="30" customHeight="1">
      <c r="A13" s="309" t="s">
        <v>314</v>
      </c>
      <c r="B13" s="310">
        <v>14500</v>
      </c>
      <c r="C13" s="310">
        <v>15268</v>
      </c>
      <c r="D13" s="310">
        <v>47500</v>
      </c>
      <c r="E13" s="310">
        <v>45732</v>
      </c>
      <c r="F13" s="311">
        <f t="shared" si="0"/>
        <v>105.29655172413793</v>
      </c>
      <c r="G13" s="312">
        <f t="shared" si="1"/>
        <v>103.86600192425435</v>
      </c>
      <c r="H13" s="313"/>
      <c r="I13" s="314"/>
      <c r="J13" s="314"/>
      <c r="K13" s="314"/>
      <c r="L13" s="314"/>
    </row>
    <row r="14" spans="1:12" s="293" customFormat="1" ht="30" customHeight="1">
      <c r="A14" s="309" t="s">
        <v>315</v>
      </c>
      <c r="B14" s="310">
        <v>725200</v>
      </c>
      <c r="C14" s="310">
        <v>869316</v>
      </c>
      <c r="D14" s="310">
        <v>2625348</v>
      </c>
      <c r="E14" s="310">
        <v>1957815</v>
      </c>
      <c r="F14" s="311">
        <f t="shared" si="0"/>
        <v>119.87258687258687</v>
      </c>
      <c r="G14" s="312">
        <f t="shared" si="1"/>
        <v>134.09581599895802</v>
      </c>
      <c r="H14" s="313"/>
      <c r="I14" s="314"/>
      <c r="J14" s="314"/>
      <c r="K14" s="314"/>
      <c r="L14" s="314"/>
    </row>
    <row r="15" spans="1:12" s="281" customFormat="1" ht="30" customHeight="1">
      <c r="A15" s="315" t="s">
        <v>316</v>
      </c>
      <c r="B15" s="316"/>
      <c r="C15" s="316"/>
      <c r="D15" s="316"/>
      <c r="E15" s="316"/>
      <c r="F15" s="317"/>
      <c r="G15" s="306"/>
      <c r="H15" s="307"/>
      <c r="I15" s="308"/>
      <c r="J15" s="308"/>
      <c r="K15" s="308"/>
      <c r="L15" s="308"/>
    </row>
    <row r="16" spans="1:12" s="281" customFormat="1" ht="30" customHeight="1">
      <c r="A16" s="315" t="s">
        <v>317</v>
      </c>
      <c r="B16" s="316">
        <v>69500</v>
      </c>
      <c r="C16" s="316">
        <v>796058</v>
      </c>
      <c r="D16" s="316">
        <v>2551590</v>
      </c>
      <c r="E16" s="316">
        <v>1963585</v>
      </c>
      <c r="F16" s="317">
        <f t="shared" si="0"/>
        <v>1145.4071942446044</v>
      </c>
      <c r="G16" s="312">
        <f>D16/E16*100</f>
        <v>129.94548237025646</v>
      </c>
      <c r="H16" s="307"/>
      <c r="I16" s="308"/>
      <c r="J16" s="308"/>
      <c r="K16" s="308"/>
      <c r="L16" s="308"/>
    </row>
    <row r="17" spans="1:12" s="281" customFormat="1" ht="30" customHeight="1">
      <c r="A17" s="315" t="s">
        <v>318</v>
      </c>
      <c r="B17" s="316">
        <v>460650</v>
      </c>
      <c r="C17" s="316">
        <v>664702</v>
      </c>
      <c r="D17" s="316">
        <v>1499387</v>
      </c>
      <c r="E17" s="316">
        <v>1135250</v>
      </c>
      <c r="F17" s="317">
        <f t="shared" si="0"/>
        <v>144.2965375013568</v>
      </c>
      <c r="G17" s="312">
        <f>D17/E17*100</f>
        <v>132.07548998018058</v>
      </c>
      <c r="H17" s="307"/>
      <c r="I17" s="308"/>
      <c r="J17" s="308"/>
      <c r="K17" s="308"/>
      <c r="L17" s="308"/>
    </row>
    <row r="18" spans="1:12" s="281" customFormat="1" ht="30" customHeight="1">
      <c r="A18" s="315" t="s">
        <v>319</v>
      </c>
      <c r="B18" s="316">
        <v>541074</v>
      </c>
      <c r="C18" s="316">
        <v>707479</v>
      </c>
      <c r="D18" s="316">
        <v>2245500</v>
      </c>
      <c r="E18" s="316">
        <v>2414865</v>
      </c>
      <c r="F18" s="317">
        <f t="shared" si="0"/>
        <v>130.7545733115988</v>
      </c>
      <c r="G18" s="312">
        <f>D18/E18*100</f>
        <v>92.98656446633663</v>
      </c>
      <c r="H18" s="307"/>
      <c r="I18" s="308"/>
      <c r="J18" s="308"/>
      <c r="K18" s="308"/>
      <c r="L18" s="308"/>
    </row>
    <row r="19" spans="1:12" s="281" customFormat="1" ht="30" customHeight="1">
      <c r="A19" s="318" t="s">
        <v>320</v>
      </c>
      <c r="B19" s="319">
        <v>415200</v>
      </c>
      <c r="C19" s="319">
        <v>475877</v>
      </c>
      <c r="D19" s="319">
        <v>1167688</v>
      </c>
      <c r="E19" s="319">
        <v>1173272</v>
      </c>
      <c r="F19" s="29">
        <f t="shared" si="0"/>
        <v>114.61392100192678</v>
      </c>
      <c r="G19" s="320">
        <f>D19/E19*100</f>
        <v>99.52406603072433</v>
      </c>
      <c r="H19" s="307"/>
      <c r="I19" s="308"/>
      <c r="J19" s="308"/>
      <c r="K19" s="308"/>
      <c r="L19" s="308"/>
    </row>
    <row r="20" spans="2:4" ht="15.75">
      <c r="B20" s="321"/>
      <c r="C20" s="321"/>
      <c r="D20" s="321"/>
    </row>
    <row r="22" spans="2:7" ht="15.75">
      <c r="B22" s="321"/>
      <c r="C22" s="321"/>
      <c r="D22" s="321"/>
      <c r="E22" s="321"/>
      <c r="F22" s="321"/>
      <c r="G22" s="321"/>
    </row>
    <row r="23" spans="2:7" ht="15.75">
      <c r="B23" s="321"/>
      <c r="C23" s="321"/>
      <c r="D23" s="321"/>
      <c r="E23" s="321"/>
      <c r="F23" s="321"/>
      <c r="G23" s="321"/>
    </row>
  </sheetData>
  <sheetProtection/>
  <mergeCells count="6">
    <mergeCell ref="F4:G4"/>
    <mergeCell ref="A5:A6"/>
    <mergeCell ref="B5:B6"/>
    <mergeCell ref="C5:D5"/>
    <mergeCell ref="E5:E6"/>
    <mergeCell ref="F5:G5"/>
  </mergeCells>
  <printOptions/>
  <pageMargins left="0.7" right="0.3" top="0.6" bottom="0.6" header="0.551181102362205" footer="0.3149606299212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I33"/>
  <sheetViews>
    <sheetView zoomScalePageLayoutView="0" workbookViewId="0" topLeftCell="A1">
      <pane xSplit="1" ySplit="4" topLeftCell="B23" activePane="bottomRight" state="frozen"/>
      <selection pane="topLeft" activeCell="B3" sqref="B3:E4"/>
      <selection pane="topRight" activeCell="B3" sqref="B3:E4"/>
      <selection pane="bottomLeft" activeCell="B3" sqref="B3:E4"/>
      <selection pane="bottomRight" activeCell="B30" sqref="B30:E31"/>
    </sheetView>
  </sheetViews>
  <sheetFormatPr defaultColWidth="9.00390625" defaultRowHeight="15.75"/>
  <cols>
    <col min="1" max="1" width="28.125" style="1" customWidth="1"/>
    <col min="2" max="2" width="10.25390625" style="1" customWidth="1"/>
    <col min="3" max="3" width="9.125" style="1" customWidth="1"/>
    <col min="4" max="4" width="9.625" style="1" customWidth="1"/>
    <col min="5" max="5" width="9.625" style="112" customWidth="1"/>
    <col min="6" max="7" width="9.25390625" style="1" customWidth="1"/>
    <col min="8" max="11" width="9.125" style="1" bestFit="1" customWidth="1"/>
    <col min="12" max="16384" width="9.00390625" style="1" customWidth="1"/>
  </cols>
  <sheetData>
    <row r="1" spans="1:7" ht="36" customHeight="1">
      <c r="A1" s="3" t="s">
        <v>327</v>
      </c>
      <c r="B1" s="111"/>
      <c r="C1" s="111"/>
      <c r="D1" s="111"/>
      <c r="F1" s="111"/>
      <c r="G1" s="111"/>
    </row>
    <row r="2" spans="1:7" ht="27" customHeight="1">
      <c r="A2" s="2"/>
      <c r="B2" s="113"/>
      <c r="C2" s="2"/>
      <c r="D2" s="2"/>
      <c r="F2" s="2"/>
      <c r="G2" s="93" t="s">
        <v>82</v>
      </c>
    </row>
    <row r="3" spans="1:7" ht="33.75" customHeight="1">
      <c r="A3" s="368" t="s">
        <v>0</v>
      </c>
      <c r="B3" s="372" t="s">
        <v>111</v>
      </c>
      <c r="C3" s="366"/>
      <c r="D3" s="367"/>
      <c r="E3" s="376" t="s">
        <v>284</v>
      </c>
      <c r="F3" s="365" t="s">
        <v>17</v>
      </c>
      <c r="G3" s="377"/>
    </row>
    <row r="4" spans="1:7" ht="57" customHeight="1">
      <c r="A4" s="369"/>
      <c r="B4" s="121" t="s">
        <v>281</v>
      </c>
      <c r="C4" s="26" t="s">
        <v>282</v>
      </c>
      <c r="D4" s="26" t="s">
        <v>283</v>
      </c>
      <c r="E4" s="361"/>
      <c r="F4" s="26" t="s">
        <v>86</v>
      </c>
      <c r="G4" s="27" t="s">
        <v>90</v>
      </c>
    </row>
    <row r="5" spans="1:7" s="130" customFormat="1" ht="27" customHeight="1">
      <c r="A5" s="13" t="s">
        <v>18</v>
      </c>
      <c r="B5" s="129">
        <f>SUM(B7:B11)</f>
        <v>1570.4750000000001</v>
      </c>
      <c r="C5" s="129">
        <f>SUM(C7:C11)</f>
        <v>1586.4130000000002</v>
      </c>
      <c r="D5" s="129">
        <f>SUM(D7:D11)</f>
        <v>17109.593999999997</v>
      </c>
      <c r="E5" s="129">
        <f>SUM(E7:E11)</f>
        <v>14995.856</v>
      </c>
      <c r="F5" s="114">
        <f>C5/B5*100</f>
        <v>101.01485219439978</v>
      </c>
      <c r="G5" s="114">
        <f>D5/E5*100</f>
        <v>114.0954807781563</v>
      </c>
    </row>
    <row r="6" spans="1:7" s="32" customFormat="1" ht="25.5" customHeight="1">
      <c r="A6" s="115" t="s">
        <v>140</v>
      </c>
      <c r="B6" s="128"/>
      <c r="C6" s="128"/>
      <c r="D6" s="128"/>
      <c r="E6" s="128"/>
      <c r="F6" s="31"/>
      <c r="G6" s="31"/>
    </row>
    <row r="7" spans="1:35" s="32" customFormat="1" ht="21.75" customHeight="1">
      <c r="A7" s="30" t="s">
        <v>19</v>
      </c>
      <c r="B7" s="128">
        <v>139.537</v>
      </c>
      <c r="C7" s="128">
        <v>141.587</v>
      </c>
      <c r="D7" s="128">
        <f>1454.331+141.59</f>
        <v>1595.9209999999998</v>
      </c>
      <c r="E7" s="128">
        <v>1251.791</v>
      </c>
      <c r="F7" s="31">
        <f>C7/B7*100</f>
        <v>101.4691443846435</v>
      </c>
      <c r="G7" s="31">
        <f>D7/E7*100</f>
        <v>127.49101087961168</v>
      </c>
      <c r="H7" s="95"/>
      <c r="I7" s="95"/>
      <c r="J7" s="33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1:35" s="32" customFormat="1" ht="21.75" customHeight="1">
      <c r="A8" s="30" t="s">
        <v>141</v>
      </c>
      <c r="B8" s="128">
        <v>0.318</v>
      </c>
      <c r="C8" s="128">
        <v>0.322</v>
      </c>
      <c r="D8" s="128">
        <f>14.014+0.32</f>
        <v>14.334</v>
      </c>
      <c r="E8" s="128">
        <v>7.744</v>
      </c>
      <c r="F8" s="31">
        <f>C8/B8*100</f>
        <v>101.25786163522012</v>
      </c>
      <c r="G8" s="31">
        <f>D8/E8*100</f>
        <v>185.09814049586777</v>
      </c>
      <c r="H8" s="95"/>
      <c r="I8" s="95"/>
      <c r="J8" s="33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10" s="32" customFormat="1" ht="21.75" customHeight="1">
      <c r="A9" s="30" t="s">
        <v>142</v>
      </c>
      <c r="B9" s="128">
        <v>865.324</v>
      </c>
      <c r="C9" s="128">
        <v>875.186</v>
      </c>
      <c r="D9" s="128">
        <f>7715.451+875.19</f>
        <v>8590.641</v>
      </c>
      <c r="E9" s="128">
        <v>7668.341</v>
      </c>
      <c r="F9" s="31">
        <f>C9/B9*100</f>
        <v>101.13968871775197</v>
      </c>
      <c r="G9" s="31">
        <f>D9/E9*100</f>
        <v>112.02737332625139</v>
      </c>
      <c r="J9" s="335"/>
    </row>
    <row r="10" spans="1:10" s="32" customFormat="1" ht="21.75" customHeight="1">
      <c r="A10" s="30" t="s">
        <v>143</v>
      </c>
      <c r="B10" s="128">
        <v>539.877</v>
      </c>
      <c r="C10" s="128">
        <v>543.658</v>
      </c>
      <c r="D10" s="128">
        <f>6127.182+543.66</f>
        <v>6670.842</v>
      </c>
      <c r="E10" s="128">
        <v>6064.348</v>
      </c>
      <c r="F10" s="31">
        <f>C10/B10*100</f>
        <v>100.7003447081465</v>
      </c>
      <c r="G10" s="31">
        <f>D10/E10*100</f>
        <v>110.00097619727627</v>
      </c>
      <c r="J10" s="335"/>
    </row>
    <row r="11" spans="1:10" s="32" customFormat="1" ht="21.75" customHeight="1">
      <c r="A11" s="30" t="s">
        <v>144</v>
      </c>
      <c r="B11" s="128">
        <v>25.419</v>
      </c>
      <c r="C11" s="128">
        <v>25.66</v>
      </c>
      <c r="D11" s="128">
        <f>212.196+25.66</f>
        <v>237.856</v>
      </c>
      <c r="E11" s="128">
        <v>3.632</v>
      </c>
      <c r="F11" s="31">
        <f>C11/B11*100</f>
        <v>100.94810968173414</v>
      </c>
      <c r="G11" s="31">
        <f>D11/E11*100</f>
        <v>6548.898678414096</v>
      </c>
      <c r="J11" s="335"/>
    </row>
    <row r="12" spans="1:7" s="117" customFormat="1" ht="28.5" customHeight="1">
      <c r="A12" s="115" t="s">
        <v>145</v>
      </c>
      <c r="B12" s="128"/>
      <c r="C12" s="128"/>
      <c r="D12" s="128"/>
      <c r="E12" s="128"/>
      <c r="F12" s="116"/>
      <c r="G12" s="116"/>
    </row>
    <row r="13" spans="1:7" s="32" customFormat="1" ht="21.75" customHeight="1">
      <c r="A13" s="30" t="s">
        <v>20</v>
      </c>
      <c r="B13" s="128">
        <v>1282.415</v>
      </c>
      <c r="C13" s="128">
        <v>1296.063</v>
      </c>
      <c r="D13" s="128">
        <f>13105.627+C13</f>
        <v>14401.69</v>
      </c>
      <c r="E13" s="128">
        <v>12716.242</v>
      </c>
      <c r="F13" s="31">
        <f>C13/B13*100</f>
        <v>101.06424207452346</v>
      </c>
      <c r="G13" s="31">
        <f>D13/E13*100</f>
        <v>113.25429321021102</v>
      </c>
    </row>
    <row r="14" spans="1:7" s="32" customFormat="1" ht="21.75" customHeight="1">
      <c r="A14" s="30" t="s">
        <v>21</v>
      </c>
      <c r="B14" s="128">
        <v>182.158</v>
      </c>
      <c r="C14" s="128">
        <v>183.706</v>
      </c>
      <c r="D14" s="233">
        <f>1548.112+C14</f>
        <v>1731.818</v>
      </c>
      <c r="E14" s="128">
        <v>1459.992</v>
      </c>
      <c r="F14" s="31">
        <f>C14/B14*100</f>
        <v>100.8498117019291</v>
      </c>
      <c r="G14" s="31">
        <f>D14/E14*100</f>
        <v>118.61832119628053</v>
      </c>
    </row>
    <row r="15" spans="1:7" s="32" customFormat="1" ht="21.75" customHeight="1">
      <c r="A15" s="30" t="s">
        <v>22</v>
      </c>
      <c r="B15" s="128">
        <f>B5-B13-B14</f>
        <v>105.90200000000019</v>
      </c>
      <c r="C15" s="128">
        <f>C5-C13-C14</f>
        <v>106.64400000000015</v>
      </c>
      <c r="D15" s="128">
        <f>D5-D13-D14</f>
        <v>976.0859999999968</v>
      </c>
      <c r="E15" s="128">
        <f>E5-E13-E14</f>
        <v>819.6219999999996</v>
      </c>
      <c r="F15" s="31">
        <f>C15/B15*100</f>
        <v>100.70064776869177</v>
      </c>
      <c r="G15" s="31">
        <f>D15/E15*100</f>
        <v>119.08977553067113</v>
      </c>
    </row>
    <row r="16" spans="1:7" s="32" customFormat="1" ht="24" customHeight="1">
      <c r="A16" s="209" t="s">
        <v>146</v>
      </c>
      <c r="B16" s="126"/>
      <c r="C16" s="126"/>
      <c r="D16" s="126"/>
      <c r="E16" s="126"/>
      <c r="F16" s="31"/>
      <c r="G16" s="31"/>
    </row>
    <row r="17" spans="1:11" ht="21.75" customHeight="1">
      <c r="A17" s="14" t="s">
        <v>2</v>
      </c>
      <c r="B17" s="118">
        <v>824.5016492063689</v>
      </c>
      <c r="C17" s="118">
        <v>833.045</v>
      </c>
      <c r="D17" s="118">
        <v>9041.671591648203</v>
      </c>
      <c r="E17" s="128">
        <v>7872.845962668512</v>
      </c>
      <c r="F17" s="31">
        <f aca="true" t="shared" si="0" ref="F17:F29">C17/B17*100</f>
        <v>101.03618359063982</v>
      </c>
      <c r="G17" s="31">
        <f aca="true" t="shared" si="1" ref="G17:G29">D17/E17*100</f>
        <v>114.84629109374211</v>
      </c>
      <c r="H17" s="45"/>
      <c r="I17" s="334"/>
      <c r="J17" s="334"/>
      <c r="K17" s="334"/>
    </row>
    <row r="18" spans="1:11" ht="21.75" customHeight="1">
      <c r="A18" s="14" t="s">
        <v>3</v>
      </c>
      <c r="B18" s="118">
        <v>87.956</v>
      </c>
      <c r="C18" s="118">
        <v>88.856</v>
      </c>
      <c r="D18" s="118">
        <v>935.9209655830742</v>
      </c>
      <c r="E18" s="128">
        <v>838.3245244924024</v>
      </c>
      <c r="F18" s="31">
        <f t="shared" si="0"/>
        <v>101.02323889217335</v>
      </c>
      <c r="G18" s="31">
        <f t="shared" si="1"/>
        <v>111.64184492273628</v>
      </c>
      <c r="H18" s="45"/>
      <c r="I18" s="334"/>
      <c r="J18" s="334"/>
      <c r="K18" s="334"/>
    </row>
    <row r="19" spans="1:11" ht="21.75" customHeight="1">
      <c r="A19" s="14" t="s">
        <v>4</v>
      </c>
      <c r="B19" s="118">
        <v>88.41321888922653</v>
      </c>
      <c r="C19" s="118">
        <v>89.25</v>
      </c>
      <c r="D19" s="118">
        <v>960.5615023515436</v>
      </c>
      <c r="E19" s="128">
        <v>844.2234822071931</v>
      </c>
      <c r="F19" s="31">
        <f t="shared" si="0"/>
        <v>100.94644344056954</v>
      </c>
      <c r="G19" s="31">
        <f t="shared" si="1"/>
        <v>113.78047668612447</v>
      </c>
      <c r="H19" s="45"/>
      <c r="I19" s="334"/>
      <c r="J19" s="334"/>
      <c r="K19" s="334"/>
    </row>
    <row r="20" spans="1:11" ht="21.75" customHeight="1">
      <c r="A20" s="14" t="s">
        <v>5</v>
      </c>
      <c r="B20" s="118">
        <v>58.54412778063018</v>
      </c>
      <c r="C20" s="118">
        <v>59.13824135357712</v>
      </c>
      <c r="D20" s="118">
        <v>626.3819560507462</v>
      </c>
      <c r="E20" s="128">
        <v>559.0151341471973</v>
      </c>
      <c r="F20" s="31">
        <f t="shared" si="0"/>
        <v>101.01481326218259</v>
      </c>
      <c r="G20" s="31">
        <f t="shared" si="1"/>
        <v>112.05098355813212</v>
      </c>
      <c r="H20" s="45"/>
      <c r="I20" s="334"/>
      <c r="J20" s="334"/>
      <c r="K20" s="334"/>
    </row>
    <row r="21" spans="1:11" ht="21.75" customHeight="1">
      <c r="A21" s="14" t="s">
        <v>6</v>
      </c>
      <c r="B21" s="118">
        <v>87.17256969593636</v>
      </c>
      <c r="C21" s="118">
        <v>88.045</v>
      </c>
      <c r="D21" s="118">
        <v>937.1920278878624</v>
      </c>
      <c r="E21" s="128">
        <v>832.3770050025882</v>
      </c>
      <c r="F21" s="31">
        <f t="shared" si="0"/>
        <v>101.00080828993197</v>
      </c>
      <c r="G21" s="31">
        <f t="shared" si="1"/>
        <v>112.59225354080368</v>
      </c>
      <c r="H21" s="45"/>
      <c r="I21" s="334"/>
      <c r="J21" s="334"/>
      <c r="K21" s="334"/>
    </row>
    <row r="22" spans="1:11" ht="21.75" customHeight="1">
      <c r="A22" s="14" t="s">
        <v>7</v>
      </c>
      <c r="B22" s="118">
        <v>55.016</v>
      </c>
      <c r="C22" s="118">
        <v>55.456</v>
      </c>
      <c r="D22" s="118">
        <v>612.1442393459778</v>
      </c>
      <c r="E22" s="128">
        <v>526.8587595507818</v>
      </c>
      <c r="F22" s="31">
        <f t="shared" si="0"/>
        <v>100.79976734041007</v>
      </c>
      <c r="G22" s="31">
        <f t="shared" si="1"/>
        <v>116.1875413949487</v>
      </c>
      <c r="H22" s="45"/>
      <c r="I22" s="334"/>
      <c r="J22" s="334"/>
      <c r="K22" s="334"/>
    </row>
    <row r="23" spans="1:11" ht="21.75" customHeight="1">
      <c r="A23" s="14" t="s">
        <v>8</v>
      </c>
      <c r="B23" s="118">
        <v>31.569901765935455</v>
      </c>
      <c r="C23" s="118">
        <v>31.86</v>
      </c>
      <c r="D23" s="118">
        <v>344.5452019436897</v>
      </c>
      <c r="E23" s="128">
        <v>301.4487283306535</v>
      </c>
      <c r="F23" s="31">
        <f t="shared" si="0"/>
        <v>100.91890762351869</v>
      </c>
      <c r="G23" s="31">
        <f t="shared" si="1"/>
        <v>114.29645228616272</v>
      </c>
      <c r="H23" s="45"/>
      <c r="I23" s="334"/>
      <c r="J23" s="334"/>
      <c r="K23" s="334"/>
    </row>
    <row r="24" spans="1:11" ht="21.75" customHeight="1">
      <c r="A24" s="14" t="s">
        <v>9</v>
      </c>
      <c r="B24" s="118">
        <v>56.303055949624934</v>
      </c>
      <c r="C24" s="118">
        <v>56.824</v>
      </c>
      <c r="D24" s="118">
        <v>618.2095325227964</v>
      </c>
      <c r="E24" s="128">
        <v>537.6160097988559</v>
      </c>
      <c r="F24" s="31">
        <f t="shared" si="0"/>
        <v>100.92525004475985</v>
      </c>
      <c r="G24" s="31">
        <f t="shared" si="1"/>
        <v>114.99090824212877</v>
      </c>
      <c r="H24" s="45"/>
      <c r="I24" s="334"/>
      <c r="J24" s="334"/>
      <c r="K24" s="334"/>
    </row>
    <row r="25" spans="1:11" ht="21.75" customHeight="1">
      <c r="A25" s="14" t="s">
        <v>10</v>
      </c>
      <c r="B25" s="118">
        <v>44.03965283527487</v>
      </c>
      <c r="C25" s="118">
        <v>44.557</v>
      </c>
      <c r="D25" s="118">
        <v>470.91229665337517</v>
      </c>
      <c r="E25" s="128">
        <v>420.51753729692655</v>
      </c>
      <c r="F25" s="31">
        <f t="shared" si="0"/>
        <v>101.17473034281221</v>
      </c>
      <c r="G25" s="31">
        <f t="shared" si="1"/>
        <v>111.9839851817797</v>
      </c>
      <c r="H25" s="45"/>
      <c r="I25" s="334"/>
      <c r="J25" s="334"/>
      <c r="K25" s="334"/>
    </row>
    <row r="26" spans="1:11" ht="21.75" customHeight="1">
      <c r="A26" s="14" t="s">
        <v>11</v>
      </c>
      <c r="B26" s="118">
        <v>80.67273528238893</v>
      </c>
      <c r="C26" s="118">
        <v>81.475</v>
      </c>
      <c r="D26" s="118">
        <v>871.4677216631504</v>
      </c>
      <c r="E26" s="128">
        <v>770.3126111108758</v>
      </c>
      <c r="F26" s="31">
        <f t="shared" si="0"/>
        <v>100.99446822374722</v>
      </c>
      <c r="G26" s="31">
        <f t="shared" si="1"/>
        <v>113.13169602746056</v>
      </c>
      <c r="H26" s="45"/>
      <c r="I26" s="334"/>
      <c r="J26" s="334"/>
      <c r="K26" s="334"/>
    </row>
    <row r="27" spans="1:11" ht="21.75" customHeight="1">
      <c r="A27" s="14" t="s">
        <v>12</v>
      </c>
      <c r="B27" s="118">
        <v>56.03855402522688</v>
      </c>
      <c r="C27" s="118">
        <v>56.677</v>
      </c>
      <c r="D27" s="118">
        <v>603.1477908900133</v>
      </c>
      <c r="E27" s="128">
        <v>535.0903836710977</v>
      </c>
      <c r="F27" s="31">
        <f t="shared" si="0"/>
        <v>101.139297731497</v>
      </c>
      <c r="G27" s="31">
        <f t="shared" si="1"/>
        <v>112.71886195225444</v>
      </c>
      <c r="H27" s="45"/>
      <c r="I27" s="334"/>
      <c r="J27" s="334"/>
      <c r="K27" s="334"/>
    </row>
    <row r="28" spans="1:11" ht="21.75" customHeight="1">
      <c r="A28" s="14" t="s">
        <v>13</v>
      </c>
      <c r="B28" s="118">
        <v>78.35502441157458</v>
      </c>
      <c r="C28" s="118">
        <v>79.12</v>
      </c>
      <c r="D28" s="118">
        <v>850.8509219835689</v>
      </c>
      <c r="E28" s="128">
        <v>748.1816903425699</v>
      </c>
      <c r="F28" s="31">
        <f t="shared" si="0"/>
        <v>100.97629423788734</v>
      </c>
      <c r="G28" s="31">
        <f t="shared" si="1"/>
        <v>113.72249989090082</v>
      </c>
      <c r="H28" s="45"/>
      <c r="I28" s="334"/>
      <c r="J28" s="334"/>
      <c r="K28" s="334"/>
    </row>
    <row r="29" spans="1:11" ht="21.75" customHeight="1">
      <c r="A29" s="16" t="s">
        <v>14</v>
      </c>
      <c r="B29" s="119">
        <v>21.89273447447143</v>
      </c>
      <c r="C29" s="119">
        <v>22.11</v>
      </c>
      <c r="D29" s="119">
        <v>236.58127714623694</v>
      </c>
      <c r="E29" s="210">
        <v>209.04521705325993</v>
      </c>
      <c r="F29" s="162">
        <f t="shared" si="0"/>
        <v>100.99240926610571</v>
      </c>
      <c r="G29" s="162">
        <f t="shared" si="1"/>
        <v>113.17229854915144</v>
      </c>
      <c r="H29" s="45"/>
      <c r="I29" s="334"/>
      <c r="J29" s="334"/>
      <c r="K29" s="334"/>
    </row>
    <row r="30" spans="1:6" ht="15">
      <c r="A30" s="120"/>
      <c r="B30" s="152"/>
      <c r="C30" s="152"/>
      <c r="D30" s="152"/>
      <c r="E30" s="152"/>
      <c r="F30" s="152"/>
    </row>
    <row r="31" spans="2:5" ht="15">
      <c r="B31" s="161"/>
      <c r="C31" s="161"/>
      <c r="D31" s="161"/>
      <c r="E31" s="211"/>
    </row>
    <row r="32" spans="2:5" ht="15">
      <c r="B32" s="212"/>
      <c r="C32" s="212"/>
      <c r="D32" s="212"/>
      <c r="E32" s="212"/>
    </row>
    <row r="33" spans="2:5" ht="15">
      <c r="B33" s="105"/>
      <c r="C33" s="105"/>
      <c r="D33" s="105"/>
      <c r="E33" s="213"/>
    </row>
  </sheetData>
  <sheetProtection/>
  <mergeCells count="4">
    <mergeCell ref="F3:G3"/>
    <mergeCell ref="E3:E4"/>
    <mergeCell ref="A3:A4"/>
    <mergeCell ref="B3:D3"/>
  </mergeCells>
  <printOptions/>
  <pageMargins left="0.77" right="0.3" top="0.6" bottom="0.6" header="0.551181102362205" footer="0.3149606299212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P32"/>
  <sheetViews>
    <sheetView zoomScalePageLayoutView="0" workbookViewId="0" topLeftCell="A1">
      <pane ySplit="4" topLeftCell="BM23" activePane="bottomLeft" state="frozen"/>
      <selection pane="topLeft" activeCell="C8" sqref="C8:C11"/>
      <selection pane="bottomLeft" activeCell="G32" sqref="G32"/>
    </sheetView>
  </sheetViews>
  <sheetFormatPr defaultColWidth="9.00390625" defaultRowHeight="15.75"/>
  <cols>
    <col min="1" max="1" width="23.75390625" style="8" customWidth="1"/>
    <col min="2" max="2" width="8.25390625" style="8" customWidth="1"/>
    <col min="3" max="5" width="8.375" style="8" customWidth="1"/>
    <col min="6" max="6" width="8.50390625" style="8" customWidth="1"/>
    <col min="7" max="7" width="7.875" style="8" customWidth="1"/>
    <col min="8" max="8" width="8.25390625" style="8" customWidth="1"/>
    <col min="9" max="16" width="0" style="8" hidden="1" customWidth="1"/>
    <col min="17" max="16384" width="9.00390625" style="8" customWidth="1"/>
  </cols>
  <sheetData>
    <row r="1" spans="1:8" ht="26.25" customHeight="1">
      <c r="A1" s="3" t="s">
        <v>328</v>
      </c>
      <c r="B1" s="7"/>
      <c r="C1" s="7"/>
      <c r="D1" s="7"/>
      <c r="E1" s="7"/>
      <c r="G1" s="7"/>
      <c r="H1" s="7"/>
    </row>
    <row r="2" spans="1:8" ht="8.25" customHeight="1">
      <c r="A2" s="7"/>
      <c r="B2" s="7"/>
      <c r="C2" s="7"/>
      <c r="D2" s="7"/>
      <c r="E2" s="7"/>
      <c r="G2" s="7"/>
      <c r="H2" s="7"/>
    </row>
    <row r="3" spans="1:8" ht="33" customHeight="1">
      <c r="A3" s="380" t="s">
        <v>0</v>
      </c>
      <c r="B3" s="380" t="s">
        <v>1</v>
      </c>
      <c r="C3" s="372" t="s">
        <v>111</v>
      </c>
      <c r="D3" s="366"/>
      <c r="E3" s="367"/>
      <c r="F3" s="376" t="s">
        <v>284</v>
      </c>
      <c r="G3" s="365" t="s">
        <v>17</v>
      </c>
      <c r="H3" s="377"/>
    </row>
    <row r="4" spans="1:8" ht="48.75" customHeight="1">
      <c r="A4" s="381"/>
      <c r="B4" s="381"/>
      <c r="C4" s="121" t="s">
        <v>281</v>
      </c>
      <c r="D4" s="26" t="s">
        <v>282</v>
      </c>
      <c r="E4" s="26" t="s">
        <v>283</v>
      </c>
      <c r="F4" s="361"/>
      <c r="G4" s="26" t="s">
        <v>86</v>
      </c>
      <c r="H4" s="27" t="s">
        <v>172</v>
      </c>
    </row>
    <row r="5" spans="1:10" s="10" customFormat="1" ht="29.25" customHeight="1">
      <c r="A5" s="101" t="s">
        <v>23</v>
      </c>
      <c r="B5" s="98" t="s">
        <v>32</v>
      </c>
      <c r="C5" s="163">
        <f>C6+C7+C8+C9</f>
        <v>50481.5</v>
      </c>
      <c r="D5" s="163">
        <f>D6+D7+D8+D9</f>
        <v>51802.5</v>
      </c>
      <c r="E5" s="163">
        <f>E6+E7+E8+E9</f>
        <v>599324.7000000001</v>
      </c>
      <c r="F5" s="163">
        <f>F6+F7+F8+F9</f>
        <v>538129.9</v>
      </c>
      <c r="G5" s="100">
        <f aca="true" t="shared" si="0" ref="G5:G23">D5/C5*100</f>
        <v>102.61680021393975</v>
      </c>
      <c r="H5" s="164">
        <f aca="true" t="shared" si="1" ref="H5:H23">E5/F5*100</f>
        <v>111.37175243375252</v>
      </c>
      <c r="J5" s="165"/>
    </row>
    <row r="6" spans="1:10" ht="22.5" customHeight="1">
      <c r="A6" s="70" t="s">
        <v>25</v>
      </c>
      <c r="B6" s="166" t="s">
        <v>81</v>
      </c>
      <c r="C6" s="167">
        <v>145</v>
      </c>
      <c r="D6" s="167">
        <v>130</v>
      </c>
      <c r="E6" s="167">
        <f>1280.6+D6</f>
        <v>1410.6</v>
      </c>
      <c r="F6" s="167">
        <v>8790</v>
      </c>
      <c r="G6" s="83">
        <f>D6/C6*100</f>
        <v>89.65517241379311</v>
      </c>
      <c r="H6" s="83">
        <f t="shared" si="1"/>
        <v>16.04778156996587</v>
      </c>
      <c r="J6" s="168"/>
    </row>
    <row r="7" spans="1:10" ht="22.5" customHeight="1">
      <c r="A7" s="70" t="s">
        <v>26</v>
      </c>
      <c r="B7" s="166" t="s">
        <v>81</v>
      </c>
      <c r="C7" s="87">
        <v>0</v>
      </c>
      <c r="D7" s="87">
        <v>0</v>
      </c>
      <c r="E7" s="87">
        <v>0</v>
      </c>
      <c r="F7" s="87">
        <v>0</v>
      </c>
      <c r="G7" s="83"/>
      <c r="H7" s="83"/>
      <c r="J7" s="168"/>
    </row>
    <row r="8" spans="1:14" ht="22.5" customHeight="1">
      <c r="A8" s="70" t="s">
        <v>27</v>
      </c>
      <c r="B8" s="166" t="s">
        <v>81</v>
      </c>
      <c r="C8" s="167">
        <v>5494.2</v>
      </c>
      <c r="D8" s="167">
        <v>6324.7</v>
      </c>
      <c r="E8" s="167">
        <f>64405.6+D8</f>
        <v>70730.3</v>
      </c>
      <c r="F8" s="167">
        <v>70798.6</v>
      </c>
      <c r="G8" s="83">
        <f t="shared" si="0"/>
        <v>115.11594044628882</v>
      </c>
      <c r="H8" s="83">
        <f>E8/F8*100</f>
        <v>99.90352916583096</v>
      </c>
      <c r="I8" s="64"/>
      <c r="J8" s="168"/>
      <c r="L8" s="168"/>
      <c r="M8" s="168"/>
      <c r="N8" s="168"/>
    </row>
    <row r="9" spans="1:14" ht="26.25" customHeight="1">
      <c r="A9" s="169" t="s">
        <v>28</v>
      </c>
      <c r="B9" s="166" t="s">
        <v>81</v>
      </c>
      <c r="C9" s="167">
        <v>44842.3</v>
      </c>
      <c r="D9" s="167">
        <v>45347.8</v>
      </c>
      <c r="E9" s="167">
        <f>481836+D9</f>
        <v>527183.8</v>
      </c>
      <c r="F9" s="167">
        <v>458541.3</v>
      </c>
      <c r="G9" s="83">
        <f t="shared" si="0"/>
        <v>101.12728383691292</v>
      </c>
      <c r="H9" s="83">
        <f t="shared" si="1"/>
        <v>114.96975299716735</v>
      </c>
      <c r="I9" s="10"/>
      <c r="J9" s="165"/>
      <c r="K9" s="10"/>
      <c r="L9" s="168"/>
      <c r="M9" s="168"/>
      <c r="N9" s="168"/>
    </row>
    <row r="10" spans="1:14" s="10" customFormat="1" ht="22.5" customHeight="1">
      <c r="A10" s="101" t="s">
        <v>29</v>
      </c>
      <c r="B10" s="170"/>
      <c r="C10" s="171"/>
      <c r="D10" s="171"/>
      <c r="E10" s="171"/>
      <c r="F10" s="171"/>
      <c r="G10" s="100"/>
      <c r="H10" s="164"/>
      <c r="I10" s="8"/>
      <c r="J10" s="168"/>
      <c r="K10" s="8"/>
      <c r="L10" s="165"/>
      <c r="M10" s="165"/>
      <c r="N10" s="165"/>
    </row>
    <row r="11" spans="1:14" ht="22.5" customHeight="1">
      <c r="A11" s="70" t="s">
        <v>30</v>
      </c>
      <c r="B11" s="166" t="s">
        <v>15</v>
      </c>
      <c r="C11" s="167">
        <v>1448.1</v>
      </c>
      <c r="D11" s="167">
        <v>1380</v>
      </c>
      <c r="E11" s="167">
        <f>15377.3+1380</f>
        <v>16757.3</v>
      </c>
      <c r="F11" s="167">
        <v>21003.7</v>
      </c>
      <c r="G11" s="83">
        <f t="shared" si="0"/>
        <v>95.29728609902631</v>
      </c>
      <c r="H11" s="83">
        <f t="shared" si="1"/>
        <v>79.7826097306665</v>
      </c>
      <c r="J11" s="168"/>
      <c r="L11" s="168"/>
      <c r="M11" s="168"/>
      <c r="N11" s="168"/>
    </row>
    <row r="12" spans="1:14" ht="22.5" customHeight="1">
      <c r="A12" s="70" t="s">
        <v>31</v>
      </c>
      <c r="B12" s="166" t="s">
        <v>32</v>
      </c>
      <c r="C12" s="167">
        <v>16937.6</v>
      </c>
      <c r="D12" s="167">
        <v>17488.7</v>
      </c>
      <c r="E12" s="167">
        <f>164708.6+D12</f>
        <v>182197.30000000002</v>
      </c>
      <c r="F12" s="167">
        <v>150229</v>
      </c>
      <c r="G12" s="83">
        <f t="shared" si="0"/>
        <v>103.25370772718688</v>
      </c>
      <c r="H12" s="83">
        <f t="shared" si="1"/>
        <v>121.27971297153015</v>
      </c>
      <c r="J12" s="168"/>
      <c r="L12" s="168"/>
      <c r="M12" s="168"/>
      <c r="N12" s="168"/>
    </row>
    <row r="13" spans="1:14" ht="22.5" customHeight="1">
      <c r="A13" s="70" t="s">
        <v>33</v>
      </c>
      <c r="B13" s="166" t="s">
        <v>81</v>
      </c>
      <c r="C13" s="167">
        <v>27560.2</v>
      </c>
      <c r="D13" s="167">
        <v>27841.1</v>
      </c>
      <c r="E13" s="167">
        <v>348673</v>
      </c>
      <c r="F13" s="167">
        <v>267044</v>
      </c>
      <c r="G13" s="83">
        <f t="shared" si="0"/>
        <v>101.01922337283473</v>
      </c>
      <c r="H13" s="83">
        <f t="shared" si="1"/>
        <v>130.5676218151316</v>
      </c>
      <c r="J13" s="168"/>
      <c r="L13" s="168"/>
      <c r="M13" s="168"/>
      <c r="N13" s="168"/>
    </row>
    <row r="14" spans="1:14" ht="22.5" customHeight="1">
      <c r="A14" s="70" t="s">
        <v>34</v>
      </c>
      <c r="B14" s="166" t="s">
        <v>81</v>
      </c>
      <c r="C14" s="167">
        <v>551</v>
      </c>
      <c r="D14" s="167">
        <v>530</v>
      </c>
      <c r="E14" s="167">
        <f>6497+530</f>
        <v>7027</v>
      </c>
      <c r="F14" s="167">
        <v>8710</v>
      </c>
      <c r="G14" s="83">
        <f t="shared" si="0"/>
        <v>96.18874773139746</v>
      </c>
      <c r="H14" s="83">
        <f t="shared" si="1"/>
        <v>80.67738231917336</v>
      </c>
      <c r="J14" s="168"/>
      <c r="L14" s="168"/>
      <c r="M14" s="168"/>
      <c r="N14" s="168"/>
    </row>
    <row r="15" spans="1:14" ht="22.5" customHeight="1">
      <c r="A15" s="70" t="s">
        <v>35</v>
      </c>
      <c r="B15" s="166" t="s">
        <v>81</v>
      </c>
      <c r="C15" s="167">
        <v>1076.9</v>
      </c>
      <c r="D15" s="167">
        <v>1042</v>
      </c>
      <c r="E15" s="167">
        <v>10201.6</v>
      </c>
      <c r="F15" s="167">
        <v>2128.4</v>
      </c>
      <c r="G15" s="83">
        <f t="shared" si="0"/>
        <v>96.75921626892004</v>
      </c>
      <c r="H15" s="83">
        <f t="shared" si="1"/>
        <v>479.30840067656453</v>
      </c>
      <c r="J15" s="168"/>
      <c r="L15" s="168"/>
      <c r="M15" s="168"/>
      <c r="N15" s="168"/>
    </row>
    <row r="16" spans="1:14" ht="22.5" customHeight="1">
      <c r="A16" s="70" t="s">
        <v>36</v>
      </c>
      <c r="B16" s="166" t="s">
        <v>81</v>
      </c>
      <c r="C16" s="167">
        <v>317.9</v>
      </c>
      <c r="D16" s="167">
        <v>778.3</v>
      </c>
      <c r="E16" s="167">
        <f>10221.4+778.3</f>
        <v>10999.699999999999</v>
      </c>
      <c r="F16" s="167">
        <v>9198.6</v>
      </c>
      <c r="G16" s="83">
        <f t="shared" si="0"/>
        <v>244.82541679773516</v>
      </c>
      <c r="H16" s="83">
        <f t="shared" si="1"/>
        <v>119.58015350161979</v>
      </c>
      <c r="J16" s="168"/>
      <c r="L16" s="168"/>
      <c r="M16" s="168"/>
      <c r="N16" s="168"/>
    </row>
    <row r="17" spans="1:10" ht="27.75" customHeight="1">
      <c r="A17" s="172" t="s">
        <v>91</v>
      </c>
      <c r="B17" s="173"/>
      <c r="C17" s="163"/>
      <c r="D17" s="163"/>
      <c r="E17" s="163"/>
      <c r="F17" s="163"/>
      <c r="G17" s="174"/>
      <c r="H17" s="175"/>
      <c r="J17" s="168"/>
    </row>
    <row r="18" spans="1:16" ht="22.5" customHeight="1">
      <c r="A18" s="149" t="s">
        <v>2</v>
      </c>
      <c r="B18" s="166" t="s">
        <v>24</v>
      </c>
      <c r="C18" s="167">
        <v>36501</v>
      </c>
      <c r="D18" s="167">
        <v>38309</v>
      </c>
      <c r="E18" s="167">
        <v>445536</v>
      </c>
      <c r="F18" s="167">
        <v>415137</v>
      </c>
      <c r="G18" s="83">
        <f t="shared" si="0"/>
        <v>104.95328895098763</v>
      </c>
      <c r="H18" s="83">
        <f t="shared" si="1"/>
        <v>107.32264288656516</v>
      </c>
      <c r="J18" s="168"/>
      <c r="L18" s="167">
        <v>34148</v>
      </c>
      <c r="M18" s="8">
        <v>35325.8</v>
      </c>
      <c r="N18" s="8">
        <v>416937.6</v>
      </c>
      <c r="O18" s="168">
        <f>N18-M18+L18</f>
        <v>415759.8</v>
      </c>
      <c r="P18" s="201">
        <v>415137</v>
      </c>
    </row>
    <row r="19" spans="1:16" ht="22.5" customHeight="1">
      <c r="A19" s="146" t="s">
        <v>3</v>
      </c>
      <c r="B19" s="166" t="s">
        <v>81</v>
      </c>
      <c r="C19" s="167">
        <v>1798.1</v>
      </c>
      <c r="D19" s="167">
        <v>1759</v>
      </c>
      <c r="E19" s="167">
        <v>21153</v>
      </c>
      <c r="F19" s="167">
        <v>25663.499999999996</v>
      </c>
      <c r="G19" s="83">
        <f t="shared" si="0"/>
        <v>97.82548245370113</v>
      </c>
      <c r="H19" s="83">
        <f t="shared" si="1"/>
        <v>82.42445496522299</v>
      </c>
      <c r="J19" s="168"/>
      <c r="L19" s="167">
        <v>1713.6</v>
      </c>
      <c r="M19" s="8">
        <v>2170.7</v>
      </c>
      <c r="N19" s="8">
        <v>26120.6</v>
      </c>
      <c r="O19" s="168">
        <f aca="true" t="shared" si="2" ref="O19:O30">N19-M19+L19</f>
        <v>25663.499999999996</v>
      </c>
      <c r="P19" s="201">
        <v>25663.499999999996</v>
      </c>
    </row>
    <row r="20" spans="1:16" ht="22.5" customHeight="1">
      <c r="A20" s="146" t="s">
        <v>4</v>
      </c>
      <c r="B20" s="166" t="s">
        <v>81</v>
      </c>
      <c r="C20" s="167">
        <v>654</v>
      </c>
      <c r="D20" s="167">
        <v>617</v>
      </c>
      <c r="E20" s="167">
        <v>7021</v>
      </c>
      <c r="F20" s="167">
        <v>3606.1</v>
      </c>
      <c r="G20" s="83">
        <f t="shared" si="0"/>
        <v>94.34250764525994</v>
      </c>
      <c r="H20" s="83">
        <f t="shared" si="1"/>
        <v>194.6978730484457</v>
      </c>
      <c r="J20" s="168"/>
      <c r="L20" s="167">
        <v>413.7</v>
      </c>
      <c r="M20" s="8">
        <v>610</v>
      </c>
      <c r="N20" s="8">
        <v>3802.4</v>
      </c>
      <c r="O20" s="168">
        <f t="shared" si="2"/>
        <v>3606.1</v>
      </c>
      <c r="P20" s="201">
        <v>3606.1</v>
      </c>
    </row>
    <row r="21" spans="1:16" ht="22.5" customHeight="1">
      <c r="A21" s="146" t="s">
        <v>5</v>
      </c>
      <c r="B21" s="166" t="s">
        <v>81</v>
      </c>
      <c r="C21" s="167">
        <v>30</v>
      </c>
      <c r="D21" s="167">
        <v>32</v>
      </c>
      <c r="E21" s="167">
        <v>291</v>
      </c>
      <c r="F21" s="167">
        <v>628.3000000000001</v>
      </c>
      <c r="G21" s="83">
        <f t="shared" si="0"/>
        <v>106.66666666666667</v>
      </c>
      <c r="H21" s="83">
        <f t="shared" si="1"/>
        <v>46.31545440076396</v>
      </c>
      <c r="J21" s="168"/>
      <c r="L21" s="167">
        <v>33.7</v>
      </c>
      <c r="M21" s="8">
        <v>138</v>
      </c>
      <c r="N21" s="8">
        <v>732.6</v>
      </c>
      <c r="O21" s="168">
        <f t="shared" si="2"/>
        <v>628.3000000000001</v>
      </c>
      <c r="P21" s="201">
        <v>628.3000000000001</v>
      </c>
    </row>
    <row r="22" spans="1:16" ht="22.5" customHeight="1">
      <c r="A22" s="146" t="s">
        <v>6</v>
      </c>
      <c r="B22" s="166" t="s">
        <v>81</v>
      </c>
      <c r="C22" s="167">
        <v>2143</v>
      </c>
      <c r="D22" s="167">
        <v>2075</v>
      </c>
      <c r="E22" s="167">
        <v>19929</v>
      </c>
      <c r="F22" s="167">
        <v>20999.5</v>
      </c>
      <c r="G22" s="83">
        <f t="shared" si="0"/>
        <v>96.82687820811947</v>
      </c>
      <c r="H22" s="83">
        <f t="shared" si="1"/>
        <v>94.90225957760899</v>
      </c>
      <c r="J22" s="168"/>
      <c r="L22" s="167">
        <v>2426.1</v>
      </c>
      <c r="M22" s="8">
        <v>2148</v>
      </c>
      <c r="N22" s="8">
        <v>20721.4</v>
      </c>
      <c r="O22" s="168">
        <f t="shared" si="2"/>
        <v>20999.5</v>
      </c>
      <c r="P22" s="201">
        <v>20999.5</v>
      </c>
    </row>
    <row r="23" spans="1:16" ht="22.5" customHeight="1">
      <c r="A23" s="146" t="s">
        <v>7</v>
      </c>
      <c r="B23" s="166" t="s">
        <v>81</v>
      </c>
      <c r="C23" s="167">
        <v>7958.5</v>
      </c>
      <c r="D23" s="167">
        <v>7739</v>
      </c>
      <c r="E23" s="167">
        <v>91072</v>
      </c>
      <c r="F23" s="167">
        <v>58092.3</v>
      </c>
      <c r="G23" s="83">
        <f t="shared" si="0"/>
        <v>97.2419425771188</v>
      </c>
      <c r="H23" s="83">
        <f t="shared" si="1"/>
        <v>156.77120719957722</v>
      </c>
      <c r="J23" s="168"/>
      <c r="L23" s="167">
        <v>6983</v>
      </c>
      <c r="M23" s="8">
        <v>6237.1</v>
      </c>
      <c r="N23" s="8">
        <v>57346.4</v>
      </c>
      <c r="O23" s="168">
        <f t="shared" si="2"/>
        <v>58092.3</v>
      </c>
      <c r="P23" s="201">
        <v>58092.3</v>
      </c>
    </row>
    <row r="24" spans="1:16" ht="22.5" customHeight="1">
      <c r="A24" s="146" t="s">
        <v>8</v>
      </c>
      <c r="B24" s="166" t="s">
        <v>81</v>
      </c>
      <c r="C24" s="167">
        <v>120.6</v>
      </c>
      <c r="D24" s="167">
        <v>113</v>
      </c>
      <c r="E24" s="167">
        <v>559</v>
      </c>
      <c r="F24" s="167">
        <v>0</v>
      </c>
      <c r="G24" s="83">
        <f aca="true" t="shared" si="3" ref="G24:G29">D24/C24*100</f>
        <v>93.69817578772803</v>
      </c>
      <c r="H24" s="332" t="s">
        <v>207</v>
      </c>
      <c r="J24" s="168"/>
      <c r="L24" s="167">
        <v>0</v>
      </c>
      <c r="M24" s="8">
        <v>0</v>
      </c>
      <c r="N24" s="8">
        <v>0</v>
      </c>
      <c r="O24" s="168">
        <f t="shared" si="2"/>
        <v>0</v>
      </c>
      <c r="P24" s="201">
        <v>0</v>
      </c>
    </row>
    <row r="25" spans="1:16" ht="22.5" customHeight="1">
      <c r="A25" s="146" t="s">
        <v>9</v>
      </c>
      <c r="B25" s="166" t="s">
        <v>81</v>
      </c>
      <c r="C25" s="167">
        <v>0</v>
      </c>
      <c r="D25" s="167">
        <v>0</v>
      </c>
      <c r="E25" s="167">
        <v>0</v>
      </c>
      <c r="F25" s="167">
        <v>483</v>
      </c>
      <c r="G25" s="332" t="s">
        <v>207</v>
      </c>
      <c r="H25" s="332" t="s">
        <v>207</v>
      </c>
      <c r="J25" s="168"/>
      <c r="L25" s="167">
        <v>0</v>
      </c>
      <c r="M25" s="8">
        <v>0</v>
      </c>
      <c r="N25" s="8">
        <v>483</v>
      </c>
      <c r="O25" s="168">
        <f t="shared" si="2"/>
        <v>483</v>
      </c>
      <c r="P25" s="201">
        <v>483</v>
      </c>
    </row>
    <row r="26" spans="1:16" ht="22.5" customHeight="1">
      <c r="A26" s="176" t="s">
        <v>10</v>
      </c>
      <c r="B26" s="177" t="s">
        <v>81</v>
      </c>
      <c r="C26" s="167">
        <v>0</v>
      </c>
      <c r="D26" s="167">
        <v>0</v>
      </c>
      <c r="E26" s="167">
        <v>0</v>
      </c>
      <c r="F26" s="167">
        <v>0</v>
      </c>
      <c r="G26" s="332" t="s">
        <v>207</v>
      </c>
      <c r="H26" s="332" t="s">
        <v>207</v>
      </c>
      <c r="J26" s="168"/>
      <c r="L26" s="167">
        <v>0</v>
      </c>
      <c r="M26" s="8">
        <v>0</v>
      </c>
      <c r="N26" s="8">
        <v>0</v>
      </c>
      <c r="O26" s="168">
        <f t="shared" si="2"/>
        <v>0</v>
      </c>
      <c r="P26" s="201">
        <v>0</v>
      </c>
    </row>
    <row r="27" spans="1:16" ht="22.5" customHeight="1">
      <c r="A27" s="146" t="s">
        <v>11</v>
      </c>
      <c r="B27" s="177" t="s">
        <v>81</v>
      </c>
      <c r="C27" s="167">
        <v>1093</v>
      </c>
      <c r="D27" s="167">
        <v>873</v>
      </c>
      <c r="E27" s="167">
        <v>9921</v>
      </c>
      <c r="F27" s="167">
        <v>11954.6</v>
      </c>
      <c r="G27" s="83">
        <f t="shared" si="3"/>
        <v>79.87191216834401</v>
      </c>
      <c r="H27" s="83">
        <f>E27/F27*100</f>
        <v>82.98897495524736</v>
      </c>
      <c r="J27" s="168"/>
      <c r="L27" s="167">
        <v>1209.4</v>
      </c>
      <c r="M27" s="8">
        <v>1605</v>
      </c>
      <c r="N27" s="8">
        <v>12350.2</v>
      </c>
      <c r="O27" s="168">
        <f t="shared" si="2"/>
        <v>11954.6</v>
      </c>
      <c r="P27" s="201">
        <v>11954.6</v>
      </c>
    </row>
    <row r="28" spans="1:16" ht="22.5" customHeight="1">
      <c r="A28" s="146" t="s">
        <v>12</v>
      </c>
      <c r="B28" s="177" t="s">
        <v>81</v>
      </c>
      <c r="C28" s="167">
        <v>36</v>
      </c>
      <c r="D28" s="167">
        <v>141</v>
      </c>
      <c r="E28" s="167">
        <v>1489</v>
      </c>
      <c r="F28" s="167">
        <v>883.1999999999999</v>
      </c>
      <c r="G28" s="83">
        <f t="shared" si="3"/>
        <v>391.66666666666663</v>
      </c>
      <c r="H28" s="83">
        <f>E28/F28*100</f>
        <v>168.59148550724638</v>
      </c>
      <c r="J28" s="168"/>
      <c r="L28" s="167">
        <v>0</v>
      </c>
      <c r="M28" s="8">
        <v>115.2</v>
      </c>
      <c r="N28" s="8">
        <v>998.4</v>
      </c>
      <c r="O28" s="168">
        <f t="shared" si="2"/>
        <v>883.1999999999999</v>
      </c>
      <c r="P28" s="201">
        <v>883.1999999999999</v>
      </c>
    </row>
    <row r="29" spans="1:16" ht="22.5" customHeight="1">
      <c r="A29" s="146" t="s">
        <v>13</v>
      </c>
      <c r="B29" s="177" t="s">
        <v>81</v>
      </c>
      <c r="C29" s="167">
        <v>148</v>
      </c>
      <c r="D29" s="167">
        <v>145</v>
      </c>
      <c r="E29" s="167">
        <v>2354</v>
      </c>
      <c r="F29" s="167">
        <v>682.6999999999999</v>
      </c>
      <c r="G29" s="83">
        <f t="shared" si="3"/>
        <v>97.97297297297297</v>
      </c>
      <c r="H29" s="83">
        <f>E29/F29*100</f>
        <v>344.8073824520288</v>
      </c>
      <c r="J29" s="168"/>
      <c r="L29" s="167">
        <v>79.3</v>
      </c>
      <c r="M29" s="8">
        <v>80</v>
      </c>
      <c r="N29" s="8">
        <v>683.4</v>
      </c>
      <c r="O29" s="168">
        <f t="shared" si="2"/>
        <v>682.6999999999999</v>
      </c>
      <c r="P29" s="201">
        <v>682.6999999999999</v>
      </c>
    </row>
    <row r="30" spans="1:16" ht="22.5" customHeight="1">
      <c r="A30" s="150" t="s">
        <v>14</v>
      </c>
      <c r="B30" s="178" t="s">
        <v>81</v>
      </c>
      <c r="C30" s="179">
        <v>0</v>
      </c>
      <c r="D30" s="179">
        <v>0</v>
      </c>
      <c r="E30" s="179">
        <v>0</v>
      </c>
      <c r="F30" s="179">
        <v>0</v>
      </c>
      <c r="G30" s="333" t="s">
        <v>207</v>
      </c>
      <c r="H30" s="333" t="s">
        <v>207</v>
      </c>
      <c r="J30" s="168"/>
      <c r="L30" s="179">
        <v>0</v>
      </c>
      <c r="M30" s="8">
        <v>0</v>
      </c>
      <c r="N30" s="8">
        <v>0</v>
      </c>
      <c r="O30" s="168">
        <f t="shared" si="2"/>
        <v>0</v>
      </c>
      <c r="P30" s="201">
        <v>0</v>
      </c>
    </row>
    <row r="31" spans="3:6" ht="12.75">
      <c r="C31" s="52"/>
      <c r="D31" s="52"/>
      <c r="E31" s="52"/>
      <c r="F31" s="52"/>
    </row>
    <row r="32" spans="3:6" ht="12.75">
      <c r="C32" s="232"/>
      <c r="D32" s="232"/>
      <c r="E32" s="232"/>
      <c r="F32" s="52"/>
    </row>
  </sheetData>
  <sheetProtection/>
  <mergeCells count="5">
    <mergeCell ref="G3:H3"/>
    <mergeCell ref="F3:F4"/>
    <mergeCell ref="A3:A4"/>
    <mergeCell ref="B3:B4"/>
    <mergeCell ref="C3:E3"/>
  </mergeCells>
  <printOptions/>
  <pageMargins left="0.77" right="0.3" top="0.6" bottom="0.6" header="0.551181102362205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T25 KTXH</dc:subject>
  <dc:creator>Phung Anh Dung</dc:creator>
  <cp:keywords/>
  <dc:description/>
  <cp:lastModifiedBy>KTV LONG</cp:lastModifiedBy>
  <cp:lastPrinted>2013-12-22T09:48:06Z</cp:lastPrinted>
  <dcterms:created xsi:type="dcterms:W3CDTF">2010-03-16T08:41:55Z</dcterms:created>
  <dcterms:modified xsi:type="dcterms:W3CDTF">2013-12-23T06:50:16Z</dcterms:modified>
  <cp:category/>
  <cp:version/>
  <cp:contentType/>
  <cp:contentStatus/>
</cp:coreProperties>
</file>